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bfd4\b00338\Afd\Stab\Administration\Økonomi\RISIKORAPPORT\2024\Regneark\"/>
    </mc:Choice>
  </mc:AlternateContent>
  <xr:revisionPtr revIDLastSave="0" documentId="13_ncr:1_{DC914123-8F41-4CE2-A6C7-660E0CBE9DC4}" xr6:coauthVersionLast="47" xr6:coauthVersionMax="47" xr10:uidLastSave="{00000000-0000-0000-0000-000000000000}"/>
  <bookViews>
    <workbookView xWindow="28680" yWindow="1005" windowWidth="29040" windowHeight="15840" tabRatio="886" xr2:uid="{937A524D-0DA4-499C-B1B3-D2497D484FDA}"/>
  </bookViews>
  <sheets>
    <sheet name="Indledning" sheetId="70" r:id="rId1"/>
    <sheet name="Erklæring" sheetId="71" r:id="rId2"/>
    <sheet name="Indhold" sheetId="1" r:id="rId3"/>
    <sheet name="1" sheetId="2" r:id="rId4"/>
    <sheet name="2" sheetId="3" r:id="rId5"/>
    <sheet name="3" sheetId="6" r:id="rId6"/>
    <sheet name="4" sheetId="7" r:id="rId7"/>
    <sheet name="5" sheetId="8" r:id="rId8"/>
    <sheet name="6" sheetId="10" r:id="rId9"/>
    <sheet name="7" sheetId="11" r:id="rId10"/>
    <sheet name="8" sheetId="14" r:id="rId11"/>
    <sheet name="9" sheetId="15" r:id="rId12"/>
    <sheet name="10" sheetId="16" r:id="rId13"/>
    <sheet name="11" sheetId="17" r:id="rId14"/>
    <sheet name="12" sheetId="18" r:id="rId15"/>
    <sheet name="13" sheetId="13" r:id="rId16"/>
    <sheet name="14" sheetId="19" r:id="rId17"/>
    <sheet name="15" sheetId="20" r:id="rId18"/>
    <sheet name="16" sheetId="21" r:id="rId19"/>
    <sheet name="17" sheetId="23" r:id="rId20"/>
    <sheet name="18" sheetId="25" r:id="rId21"/>
    <sheet name="19" sheetId="27" r:id="rId22"/>
    <sheet name="20" sheetId="31" r:id="rId23"/>
    <sheet name="21" sheetId="32" r:id="rId24"/>
    <sheet name="22" sheetId="33" r:id="rId25"/>
    <sheet name="23" sheetId="43" r:id="rId26"/>
    <sheet name="24" sheetId="44" r:id="rId27"/>
    <sheet name="25" sheetId="55" r:id="rId28"/>
    <sheet name="26" sheetId="60" r:id="rId29"/>
    <sheet name="27" sheetId="61" r:id="rId30"/>
    <sheet name="28" sheetId="65" r:id="rId31"/>
    <sheet name="29" sheetId="66" r:id="rId32"/>
    <sheet name="30" sheetId="73" r:id="rId33"/>
    <sheet name="31" sheetId="74" r:id="rId34"/>
    <sheet name="32" sheetId="75" r:id="rId35"/>
    <sheet name="33" sheetId="29" r:id="rId36"/>
    <sheet name="34" sheetId="42" r:id="rId37"/>
    <sheet name="35" sheetId="46" r:id="rId38"/>
    <sheet name="36" sheetId="47" r:id="rId39"/>
    <sheet name="37" sheetId="49" r:id="rId40"/>
    <sheet name="38" sheetId="50" r:id="rId41"/>
    <sheet name="39" sheetId="51" r:id="rId42"/>
    <sheet name="40" sheetId="52" r:id="rId43"/>
    <sheet name="41" sheetId="53" r:id="rId44"/>
    <sheet name="42" sheetId="54" r:id="rId45"/>
    <sheet name="43" sheetId="62" r:id="rId46"/>
    <sheet name="44" sheetId="63" r:id="rId47"/>
    <sheet name="45" sheetId="64" r:id="rId48"/>
    <sheet name="46" sheetId="67" r:id="rId49"/>
    <sheet name="47" sheetId="68" r:id="rId50"/>
    <sheet name="EU INS1" sheetId="4" r:id="rId51"/>
    <sheet name="EU INS2" sheetId="5" r:id="rId52"/>
    <sheet name="Skema EU PV1" sheetId="9" r:id="rId53"/>
    <sheet name="EU CCyB1" sheetId="12" r:id="rId54"/>
    <sheet name="Skema EU CR2a" sheetId="22" r:id="rId55"/>
    <sheet name="Skema EU CQ2" sheetId="24" r:id="rId56"/>
    <sheet name="Skema EU CQ4" sheetId="26" r:id="rId57"/>
    <sheet name="Skema EU CQ6" sheetId="28" r:id="rId58"/>
    <sheet name="Skema EU CQ8" sheetId="30" r:id="rId59"/>
    <sheet name="EU CR6" sheetId="34" r:id="rId60"/>
    <sheet name="EU CR6-A" sheetId="35" r:id="rId61"/>
    <sheet name="EU CR7" sheetId="36" r:id="rId62"/>
    <sheet name="EU CR7-A" sheetId="37" r:id="rId63"/>
    <sheet name="EU CR8" sheetId="38" r:id="rId64"/>
    <sheet name="EU CR9" sheetId="39" r:id="rId65"/>
    <sheet name="EU CR9.1" sheetId="40" r:id="rId66"/>
    <sheet name="EU CR10 " sheetId="41" r:id="rId67"/>
    <sheet name="Skema EU CCR4" sheetId="45" r:id="rId68"/>
    <sheet name="Skema EU CCR7" sheetId="48" r:id="rId69"/>
    <sheet name="EU MR2-A" sheetId="56" r:id="rId70"/>
    <sheet name="EU MR2-B" sheetId="57" r:id="rId71"/>
    <sheet name="EU MR3" sheetId="58" r:id="rId72"/>
    <sheet name="EU MR4" sheetId="59" r:id="rId73"/>
  </sheets>
  <externalReferences>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s>
  <definedNames>
    <definedName name="_xlnm._FilterDatabase" localSheetId="33" hidden="1">'31'!$A$3:$E$51</definedName>
    <definedName name="_ftn1" localSheetId="27">'25'!$H$16</definedName>
    <definedName name="_ftnref1" localSheetId="27">'25'!$H$13</definedName>
    <definedName name="_ftnref1_50" localSheetId="34">'[1]Table 39_'!#REF!</definedName>
    <definedName name="_ftnref1_50">'[1]Table 39_'!#REF!</definedName>
    <definedName name="_ftnref1_50_10" localSheetId="34">'[2]Table 39_'!#REF!</definedName>
    <definedName name="_ftnref1_50_10">'[2]Table 39_'!#REF!</definedName>
    <definedName name="_ftnref1_50_15" localSheetId="34">'[2]Table 39_'!#REF!</definedName>
    <definedName name="_ftnref1_50_15">'[2]Table 39_'!#REF!</definedName>
    <definedName name="_ftnref1_50_18" localSheetId="34">'[2]Table 39_'!#REF!</definedName>
    <definedName name="_ftnref1_50_18">'[2]Table 39_'!#REF!</definedName>
    <definedName name="_ftnref1_50_19" localSheetId="34">'[2]Table 39_'!#REF!</definedName>
    <definedName name="_ftnref1_50_19">'[2]Table 39_'!#REF!</definedName>
    <definedName name="_ftnref1_50_20" localSheetId="34">'[2]Table 39_'!#REF!</definedName>
    <definedName name="_ftnref1_50_20">'[2]Table 39_'!#REF!</definedName>
    <definedName name="_ftnref1_50_21" localSheetId="34">'[2]Table 39_'!#REF!</definedName>
    <definedName name="_ftnref1_50_21">'[2]Table 39_'!#REF!</definedName>
    <definedName name="_ftnref1_50_23" localSheetId="34">'[2]Table 39_'!#REF!</definedName>
    <definedName name="_ftnref1_50_23">'[2]Table 39_'!#REF!</definedName>
    <definedName name="_ftnref1_50_24" localSheetId="34">'[2]Table 39_'!#REF!</definedName>
    <definedName name="_ftnref1_50_24">'[2]Table 39_'!#REF!</definedName>
    <definedName name="_ftnref1_50_4" localSheetId="34">'[2]Table 39_'!#REF!</definedName>
    <definedName name="_ftnref1_50_4">'[2]Table 39_'!#REF!</definedName>
    <definedName name="_ftnref1_50_5" localSheetId="34">'[2]Table 39_'!#REF!</definedName>
    <definedName name="_ftnref1_50_5">'[2]Table 39_'!#REF!</definedName>
    <definedName name="_ftnref1_51" localSheetId="34">'[1]Table 39_'!#REF!</definedName>
    <definedName name="_ftnref1_51">'[1]Table 39_'!#REF!</definedName>
    <definedName name="_ftnref1_51_10" localSheetId="34">'[2]Table 39_'!#REF!</definedName>
    <definedName name="_ftnref1_51_10">'[2]Table 39_'!#REF!</definedName>
    <definedName name="_ftnref1_51_15" localSheetId="34">'[2]Table 39_'!#REF!</definedName>
    <definedName name="_ftnref1_51_15">'[2]Table 39_'!#REF!</definedName>
    <definedName name="_ftnref1_51_18" localSheetId="34">'[2]Table 39_'!#REF!</definedName>
    <definedName name="_ftnref1_51_18">'[2]Table 39_'!#REF!</definedName>
    <definedName name="_ftnref1_51_19" localSheetId="34">'[2]Table 39_'!#REF!</definedName>
    <definedName name="_ftnref1_51_19">'[2]Table 39_'!#REF!</definedName>
    <definedName name="_ftnref1_51_20" localSheetId="34">'[2]Table 39_'!#REF!</definedName>
    <definedName name="_ftnref1_51_20">'[2]Table 39_'!#REF!</definedName>
    <definedName name="_ftnref1_51_21" localSheetId="34">'[2]Table 39_'!#REF!</definedName>
    <definedName name="_ftnref1_51_21">'[2]Table 39_'!#REF!</definedName>
    <definedName name="_ftnref1_51_23" localSheetId="34">'[2]Table 39_'!#REF!</definedName>
    <definedName name="_ftnref1_51_23">'[2]Table 39_'!#REF!</definedName>
    <definedName name="_ftnref1_51_24" localSheetId="34">'[2]Table 39_'!#REF!</definedName>
    <definedName name="_ftnref1_51_24">'[2]Table 39_'!#REF!</definedName>
    <definedName name="_ftnref1_51_4" localSheetId="34">'[2]Table 39_'!#REF!</definedName>
    <definedName name="_ftnref1_51_4">'[2]Table 39_'!#REF!</definedName>
    <definedName name="_ftnref1_51_5" localSheetId="34">'[2]Table 39_'!#REF!</definedName>
    <definedName name="_ftnref1_51_5">'[2]Table 39_'!#REF!</definedName>
    <definedName name="_h" localSheetId="34">'[2]Table 39_'!#REF!</definedName>
    <definedName name="_h">'[2]Table 39_'!#REF!</definedName>
    <definedName name="_Toc483499698" localSheetId="5">'3'!$B$2</definedName>
    <definedName name="_Toc483499734" localSheetId="71">'EU MR3'!#REF!</definedName>
    <definedName name="_Toc483499735" localSheetId="72">'EU MR4'!#REF!</definedName>
    <definedName name="Accounting">[3]Parameters!$C$109:$C$112</definedName>
    <definedName name="ACCOUNTING_FRAMEWORK">#REF!</definedName>
    <definedName name="ACCOUNTING_MONTH">MOD(CALENDAR_MONTH+12-YEAR_END, 12)</definedName>
    <definedName name="AP">'[4]Lists-Aux'!$D:$D</definedName>
    <definedName name="App">[5]Lists!$A$27:$A$29</definedName>
    <definedName name="ASSET_ENCUMB">#REF!</definedName>
    <definedName name="AT">'[6]Lists-Aux'!$B:$B</definedName>
    <definedName name="AVA_CORE">#REF!</definedName>
    <definedName name="BankType">[3]Parameters!$C$113:$C$115</definedName>
    <definedName name="BAS">'[4]Lists-Aux'!$A:$A</definedName>
    <definedName name="Basel">[7]Parameters!$C$32:$C$33</definedName>
    <definedName name="Basel12">#REF!</definedName>
    <definedName name="BT">'[4]Lists-Aux'!$E:$E</definedName>
    <definedName name="CALENDAR_MONTH">MONTH(DATEVALUE(#REF! &amp; " 1"))</definedName>
    <definedName name="Carlos" localSheetId="34">#REF!</definedName>
    <definedName name="Carlos">#REF!</definedName>
    <definedName name="CCR_FULL">#REF!</definedName>
    <definedName name="CCR_IMM">#REF!</definedName>
    <definedName name="CCR_OEM">#REF!</definedName>
    <definedName name="CCR_SIMPLIFIED">#REF!</definedName>
    <definedName name="CCROTC">#REF!</definedName>
    <definedName name="CCRSFT">#REF!</definedName>
    <definedName name="COF">'[6]Lists-Aux'!$G:$G</definedName>
    <definedName name="COI">'[4]Lists-Aux'!$H:$H</definedName>
    <definedName name="CP">'[4]Lists-Aux'!$I:$I</definedName>
    <definedName name="CQS">'[4]Lists-Aux'!$J:$J</definedName>
    <definedName name="CREDRISK_IRB">#REF!</definedName>
    <definedName name="CREDRISK_IRBEQ_IM">#REF!</definedName>
    <definedName name="CREDRISK_IRBEQ_PDLGD">#REF!</definedName>
    <definedName name="CREDRISK_IRBEQ_SRW">#REF!</definedName>
    <definedName name="CREDRISK_SA">#REF!</definedName>
    <definedName name="CT">'[4]Lists-Aux'!$K:$K</definedName>
    <definedName name="dfd">[3]Parameters!#REF!</definedName>
    <definedName name="DimensionsNames">[6]Dimensions!$B$2:$B$79</definedName>
    <definedName name="dsa" localSheetId="34">#REF!</definedName>
    <definedName name="dsa">#REF!</definedName>
    <definedName name="edc">[8]Members!$D$3:E$2477</definedName>
    <definedName name="ER">'[4]Lists-Aux'!$N:$N</definedName>
    <definedName name="EXP_GOV">#REF!</definedName>
    <definedName name="fdsg" localSheetId="34">'[1]Table 39_'!#REF!</definedName>
    <definedName name="fdsg">'[1]Table 39_'!#REF!</definedName>
    <definedName name="FEE_COM_INCOME">#REF!</definedName>
    <definedName name="Frequency">[5]Lists!$A$21:$A$25</definedName>
    <definedName name="GA">'[4]Lists-Aux'!$P:$P</definedName>
    <definedName name="Group">[3]Parameters!$C$93:$C$94</definedName>
    <definedName name="Group2">[9]Parameters!$C$42:$C$43</definedName>
    <definedName name="GSII">#REF!</definedName>
    <definedName name="ho" localSheetId="34">#REF!</definedName>
    <definedName name="ho">#REF!</definedName>
    <definedName name="IM">'[4]Lists-Aux'!$Q:$Q</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SSUE_BONDS">#REF!</definedName>
    <definedName name="JedenRadekPodSestavou" localSheetId="34">#REF!</definedName>
    <definedName name="JedenRadekPodSestavou">#REF!</definedName>
    <definedName name="JedenRadekPodSestavou_11" localSheetId="34">#REF!</definedName>
    <definedName name="JedenRadekPodSestavou_11">#REF!</definedName>
    <definedName name="JedenRadekPodSestavou_2" localSheetId="34">#REF!</definedName>
    <definedName name="JedenRadekPodSestavou_2">#REF!</definedName>
    <definedName name="JedenRadekPodSestavou_28" localSheetId="34">#REF!</definedName>
    <definedName name="JedenRadekPodSestavou_28">#REF!</definedName>
    <definedName name="JedenRadekVedleSestavy" localSheetId="34">#REF!</definedName>
    <definedName name="JedenRadekVedleSestavy">#REF!</definedName>
    <definedName name="JedenRadekVedleSestavy_11" localSheetId="34">#REF!</definedName>
    <definedName name="JedenRadekVedleSestavy_11">#REF!</definedName>
    <definedName name="JedenRadekVedleSestavy_2" localSheetId="34">#REF!</definedName>
    <definedName name="JedenRadekVedleSestavy_2">#REF!</definedName>
    <definedName name="JedenRadekVedleSestavy_28" localSheetId="34">#REF!</definedName>
    <definedName name="JedenRadekVedleSestavy_28">#REF!</definedName>
    <definedName name="kk">'[10]List details'!$C$5:$C$8</definedName>
    <definedName name="LARGE_GSII_OR_LISTED">AND(SNCI="LARGE", OR(GSII="Y", LISTED="Y"))</definedName>
    <definedName name="LARGE_OR_REGULAR_LISTED">OR(SNCI="LARGE", AND(SNCI&lt;&gt;"SMALL", LISTED="Y"))</definedName>
    <definedName name="LISTED">#REF!</definedName>
    <definedName name="ll">'[10]List details'!$C$5:$C$8</definedName>
    <definedName name="MARKRISK_IM">#REF!</definedName>
    <definedName name="MARKRISK_IM_CT">#REF!</definedName>
    <definedName name="MARKRISK_IM_IRC">#REF!</definedName>
    <definedName name="MARKRISK_SA">#REF!</definedName>
    <definedName name="MaxOblastTabulky" localSheetId="34">#REF!</definedName>
    <definedName name="MaxOblastTabulky">#REF!</definedName>
    <definedName name="MaxOblastTabulky_11" localSheetId="34">#REF!</definedName>
    <definedName name="MaxOblastTabulky_11">#REF!</definedName>
    <definedName name="MaxOblastTabulky_2" localSheetId="34">#REF!</definedName>
    <definedName name="MaxOblastTabulky_2">#REF!</definedName>
    <definedName name="MaxOblastTabulky_28" localSheetId="34">#REF!</definedName>
    <definedName name="MaxOblastTabulky_28">#REF!</definedName>
    <definedName name="MC">'[6]Lists-Aux'!$C:$C</definedName>
    <definedName name="Members">[6]Members!$D$3:E$2992</definedName>
    <definedName name="MemberStatereporting">[11]Lists!$B$2:$B$29</definedName>
    <definedName name="NON_DOMESTIC_EXP">#REF!</definedName>
    <definedName name="NPL_RATIO">#REF!</definedName>
    <definedName name="NSFR_METHODOLOGY">#REF!</definedName>
    <definedName name="OblastDat2" localSheetId="34">#REF!</definedName>
    <definedName name="OblastDat2">#REF!</definedName>
    <definedName name="OblastDat2_11" localSheetId="34">#REF!</definedName>
    <definedName name="OblastDat2_11">#REF!</definedName>
    <definedName name="OblastDat2_2" localSheetId="34">#REF!</definedName>
    <definedName name="OblastDat2_2">#REF!</definedName>
    <definedName name="OblastDat2_28" localSheetId="34">#REF!</definedName>
    <definedName name="OblastDat2_28">#REF!</definedName>
    <definedName name="OblastNadpisuRadku" localSheetId="34">#REF!</definedName>
    <definedName name="OblastNadpisuRadku">#REF!</definedName>
    <definedName name="OblastNadpisuRadku_11" localSheetId="34">#REF!</definedName>
    <definedName name="OblastNadpisuRadku_11">#REF!</definedName>
    <definedName name="OblastNadpisuRadku_2" localSheetId="34">#REF!</definedName>
    <definedName name="OblastNadpisuRadku_2">#REF!</definedName>
    <definedName name="OblastNadpisuRadku_28" localSheetId="34">#REF!</definedName>
    <definedName name="OblastNadpisuRadku_28">#REF!</definedName>
    <definedName name="OblastNadpisuSloupcu" localSheetId="34">#REF!</definedName>
    <definedName name="OblastNadpisuSloupcu">#REF!</definedName>
    <definedName name="OblastNadpisuSloupcu_11" localSheetId="34">#REF!</definedName>
    <definedName name="OblastNadpisuSloupcu_11">#REF!</definedName>
    <definedName name="OblastNadpisuSloupcu_2" localSheetId="34">#REF!</definedName>
    <definedName name="OblastNadpisuSloupcu_2">#REF!</definedName>
    <definedName name="OblastNadpisuSloupcu_28" localSheetId="34">#REF!</definedName>
    <definedName name="OblastNadpisuSloupcu_28">#REF!</definedName>
    <definedName name="OpRisk">#REF!</definedName>
    <definedName name="OPRISK_AMA">#REF!</definedName>
    <definedName name="OPRISK_ASA">#REF!</definedName>
    <definedName name="OPRISK_TSA">#REF!</definedName>
    <definedName name="PCT">'[4]Lists-Aux'!$U:$U</definedName>
    <definedName name="PI">'[4]Lists-Aux'!$V:$V</definedName>
    <definedName name="PL">'[4]Lists-Aux'!$W:$W</definedName>
    <definedName name="PR">'[4]Lists-Aux'!$X:$X</definedName>
    <definedName name="Print_Area" localSheetId="0">Indledning!$A$1:$G$22</definedName>
    <definedName name="Print_Area_MI" localSheetId="34">#REF!</definedName>
    <definedName name="Print_Area_MI">#REF!</definedName>
    <definedName name="Print_Area_MI_11" localSheetId="34">#REF!</definedName>
    <definedName name="Print_Area_MI_11">#REF!</definedName>
    <definedName name="Print_Area_MI_2" localSheetId="34">#REF!</definedName>
    <definedName name="Print_Area_MI_2">#REF!</definedName>
    <definedName name="Print_Area_MI_28" localSheetId="34">#REF!</definedName>
    <definedName name="Print_Area_MI_28">#REF!</definedName>
    <definedName name="Print_Titles_MI" localSheetId="34">#REF!</definedName>
    <definedName name="Print_Titles_MI">#REF!</definedName>
    <definedName name="Print_Titles_MI_11" localSheetId="34">#REF!</definedName>
    <definedName name="Print_Titles_MI_11">#REF!</definedName>
    <definedName name="Print_Titles_MI_2" localSheetId="34">#REF!</definedName>
    <definedName name="Print_Titles_MI_2">#REF!</definedName>
    <definedName name="Print_Titles_MI_28" localSheetId="34">#REF!</definedName>
    <definedName name="Print_Titles_MI_28">#REF!</definedName>
    <definedName name="rfgf" localSheetId="34">'[1]Table 39_'!#REF!</definedName>
    <definedName name="rfgf">'[1]Table 39_'!#REF!</definedName>
    <definedName name="RP">'[4]Lists-Aux'!$Z:$Z</definedName>
    <definedName name="rrr">[8]Members!$D$3:E$2477</definedName>
    <definedName name="RSP">'[4]Lists-Aux'!$AA:$AA</definedName>
    <definedName name="RT">'[4]Lists-Aux'!$AB:$AB</definedName>
    <definedName name="RTT">'[4]Lists-Aux'!$AC:$AC</definedName>
    <definedName name="SNCI">#REF!</definedName>
    <definedName name="ST">'[4]Lists-Aux'!$AD:$AD</definedName>
    <definedName name="TA">'[6]Lists-Aux'!$AE:$AE</definedName>
    <definedName name="TANG_ASSETS">#REF!</definedName>
    <definedName name="TD">'[4]Lists-Aux'!$AI:$AI</definedName>
    <definedName name="TI">'[4]Lists-Aux'!$AF:$AF</definedName>
    <definedName name="TOT_EXP">#REF!</definedName>
    <definedName name="TRADING_BOOK">#REF!</definedName>
    <definedName name="TYPE">#REF!</definedName>
    <definedName name="_xlnm.Print_Area" localSheetId="12">'10'!$B$2:$D$18</definedName>
    <definedName name="_xlnm.Print_Area" localSheetId="22">'20'!$B$1:$K$19</definedName>
    <definedName name="_xlnm.Print_Area" localSheetId="5">'3'!$B$2:$J$38</definedName>
    <definedName name="_xlnm.Print_Area" localSheetId="32">'30'!$B$2:$D$22</definedName>
    <definedName name="_xlnm.Print_Area" localSheetId="33">'31'!$B$2:$E$50</definedName>
    <definedName name="_xlnm.Print_Area" localSheetId="34">'32'!$B$2:$J$16</definedName>
    <definedName name="_xlnm.Print_Area" localSheetId="44">'42'!$B$2:$F$20</definedName>
    <definedName name="_xlnm.Print_Area" localSheetId="8">'6'!$B$6:$E$127</definedName>
    <definedName name="_xlnm.Print_Area" localSheetId="10">'8'!$B$2:$D$21</definedName>
    <definedName name="_xlnm.Print_Area" localSheetId="11">'9'!$B$2:$E$73</definedName>
    <definedName name="_xlnm.Print_Area" localSheetId="60">'EU CR6-A'!$A$2:$J$24</definedName>
    <definedName name="_xlnm.Print_Area" localSheetId="61">'EU CR7'!$B$2:$H$27</definedName>
    <definedName name="_xlnm.Print_Area" localSheetId="64">'EU CR9'!$B$4:$J$51</definedName>
    <definedName name="_xlnm.Print_Area" localSheetId="65">'EU CR9.1'!$B$2:$I$30</definedName>
    <definedName name="_xlnm.Print_Titles" localSheetId="33">'31'!$4:$5</definedName>
    <definedName name="_xlnm.Print_Titles" localSheetId="8">'6'!$6:$6</definedName>
    <definedName name="UES">'[4]Lists-Aux'!$AG:$AG</definedName>
    <definedName name="Valid1" localSheetId="34">#REF!</definedName>
    <definedName name="Valid1">#REF!</definedName>
    <definedName name="Valid2" localSheetId="34">#REF!</definedName>
    <definedName name="Valid2">#REF!</definedName>
    <definedName name="Valid3" localSheetId="34">#REF!</definedName>
    <definedName name="Valid3">#REF!</definedName>
    <definedName name="Valid4" localSheetId="34">#REF!</definedName>
    <definedName name="Valid4">#REF!</definedName>
    <definedName name="Valid5" localSheetId="34">#REF!</definedName>
    <definedName name="Valid5">#REF!</definedName>
    <definedName name="XBRL">[5]Lists!$A$17:$A$19</definedName>
    <definedName name="XX">[4]Dimensions!$B$2:$B$78</definedName>
    <definedName name="YEAR_END">#REF!</definedName>
    <definedName name="YesNo">[3]Parameters!$C$90:$C$91</definedName>
    <definedName name="YesNoBasel2">[3]Parameters!#REF!</definedName>
    <definedName name="YesNoNA">#REF!</definedName>
    <definedName name="zxasdafsds" localSheetId="34">#REF!</definedName>
    <definedName name="zxasdafsd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4" i="66" l="1"/>
  <c r="J14" i="66"/>
  <c r="K9" i="66"/>
  <c r="K10" i="66"/>
  <c r="J10" i="66"/>
  <c r="J9" i="66"/>
  <c r="I14" i="66"/>
  <c r="I10" i="66"/>
  <c r="I9" i="66"/>
  <c r="I8" i="66"/>
  <c r="H8" i="66"/>
  <c r="H16" i="66"/>
  <c r="H14" i="66"/>
  <c r="H10" i="66"/>
  <c r="H9" i="66"/>
  <c r="H28" i="27" l="1"/>
  <c r="H27" i="27"/>
  <c r="H26" i="27"/>
  <c r="H23" i="27"/>
  <c r="H22" i="27"/>
  <c r="H21" i="27"/>
  <c r="H20" i="27"/>
  <c r="H19" i="27"/>
  <c r="H18" i="27"/>
  <c r="H17" i="27"/>
  <c r="H16" i="27"/>
  <c r="H15" i="27"/>
  <c r="H14" i="27"/>
  <c r="H13" i="27"/>
  <c r="H12" i="27"/>
  <c r="H10" i="27"/>
  <c r="F28" i="27"/>
  <c r="F27" i="27"/>
  <c r="F22" i="27"/>
  <c r="F21" i="27"/>
  <c r="F19" i="27"/>
  <c r="F18" i="27"/>
  <c r="F16" i="27"/>
  <c r="F15" i="27"/>
  <c r="F14" i="27"/>
  <c r="F12" i="27"/>
  <c r="F10" i="27"/>
  <c r="E28" i="27"/>
  <c r="E27" i="27"/>
  <c r="E22" i="27"/>
  <c r="E21" i="27"/>
  <c r="E19" i="27"/>
  <c r="E18" i="27"/>
  <c r="E16" i="27"/>
  <c r="E15" i="27"/>
  <c r="E14" i="27"/>
  <c r="E12" i="27"/>
  <c r="G28" i="27"/>
  <c r="G27" i="27"/>
  <c r="G26" i="27"/>
  <c r="G25" i="27"/>
  <c r="G23" i="27"/>
  <c r="G22" i="27"/>
  <c r="G21" i="27"/>
  <c r="G20" i="27"/>
  <c r="G19" i="27"/>
  <c r="G18" i="27"/>
  <c r="G17" i="27"/>
  <c r="G16" i="27"/>
  <c r="G15" i="27"/>
  <c r="G14" i="27"/>
  <c r="G13" i="27"/>
  <c r="G12" i="27"/>
  <c r="G10" i="27"/>
  <c r="D28" i="27"/>
  <c r="D27" i="27"/>
  <c r="D26" i="27"/>
  <c r="D25" i="27"/>
  <c r="D23" i="27"/>
  <c r="D22" i="27"/>
  <c r="D21" i="27"/>
  <c r="D20" i="27"/>
  <c r="D19" i="27"/>
  <c r="D18" i="27"/>
  <c r="D17" i="27"/>
  <c r="D16" i="27"/>
  <c r="D15" i="27"/>
  <c r="D14" i="27"/>
  <c r="D13" i="27"/>
  <c r="D12" i="27"/>
  <c r="E10" i="27"/>
  <c r="D10" i="27"/>
  <c r="G32" i="25"/>
  <c r="D32" i="25"/>
  <c r="G31" i="25"/>
  <c r="D31" i="25"/>
  <c r="G30" i="25"/>
  <c r="D30" i="25"/>
  <c r="D29" i="25"/>
  <c r="D28" i="25"/>
  <c r="G26" i="25"/>
  <c r="D26" i="25"/>
  <c r="O19" i="25"/>
  <c r="L19" i="25"/>
  <c r="K19" i="25"/>
  <c r="J19" i="25"/>
  <c r="I19" i="25"/>
  <c r="H19" i="25"/>
  <c r="G19" i="25"/>
  <c r="F19" i="25"/>
  <c r="E19" i="25"/>
  <c r="D19" i="25"/>
  <c r="H18" i="25"/>
  <c r="G18" i="25"/>
  <c r="F18" i="25"/>
  <c r="E18" i="25"/>
  <c r="D18" i="25"/>
  <c r="H17" i="25"/>
  <c r="G17" i="25"/>
  <c r="F17" i="25"/>
  <c r="E17" i="25"/>
  <c r="D17" i="25"/>
  <c r="O16" i="25"/>
  <c r="H16" i="25"/>
  <c r="G16" i="25"/>
  <c r="E16" i="25"/>
  <c r="D16" i="25"/>
  <c r="E14" i="25"/>
  <c r="O12" i="25"/>
  <c r="L12" i="25"/>
  <c r="K12" i="25"/>
  <c r="J12" i="25"/>
  <c r="I12" i="25"/>
  <c r="H12" i="25"/>
  <c r="G12" i="25"/>
  <c r="F12" i="25"/>
  <c r="E12" i="25"/>
  <c r="D12" i="25"/>
  <c r="E11" i="25"/>
  <c r="D11" i="25"/>
  <c r="I16" i="23"/>
  <c r="G16" i="23"/>
  <c r="F16" i="23"/>
  <c r="E16" i="23"/>
  <c r="I15" i="23"/>
  <c r="G15" i="23"/>
  <c r="F15" i="23"/>
  <c r="E15" i="23"/>
  <c r="I10" i="23"/>
  <c r="G10" i="23"/>
  <c r="F10" i="23"/>
  <c r="E10" i="23"/>
  <c r="O30" i="19" l="1"/>
  <c r="M30" i="19"/>
  <c r="L30" i="19"/>
  <c r="K30" i="19"/>
  <c r="J30" i="19"/>
  <c r="I30" i="19"/>
  <c r="G30" i="19"/>
  <c r="F30" i="19"/>
  <c r="E30" i="19"/>
  <c r="D30" i="19"/>
  <c r="O29" i="19"/>
  <c r="M29" i="19"/>
  <c r="L29" i="19"/>
  <c r="K29" i="19"/>
  <c r="J29" i="19"/>
  <c r="I29" i="19"/>
  <c r="G29" i="19"/>
  <c r="F29" i="19"/>
  <c r="E29" i="19"/>
  <c r="D29" i="19"/>
  <c r="L28" i="19"/>
  <c r="K28" i="19"/>
  <c r="J28" i="19"/>
  <c r="F28" i="19"/>
  <c r="E28" i="19"/>
  <c r="D28" i="19"/>
  <c r="K27" i="19"/>
  <c r="J27" i="19"/>
  <c r="E27" i="19"/>
  <c r="D27" i="19"/>
  <c r="L26" i="19"/>
  <c r="K26" i="19"/>
  <c r="J26" i="19"/>
  <c r="F26" i="19"/>
  <c r="E26" i="19"/>
  <c r="D26" i="19"/>
  <c r="O24" i="19"/>
  <c r="M24" i="19"/>
  <c r="L24" i="19"/>
  <c r="K24" i="19"/>
  <c r="J24" i="19"/>
  <c r="I24" i="19"/>
  <c r="G24" i="19"/>
  <c r="F24" i="19"/>
  <c r="E24" i="19"/>
  <c r="D24" i="19"/>
  <c r="O17" i="19"/>
  <c r="M17" i="19"/>
  <c r="L17" i="19"/>
  <c r="K17" i="19"/>
  <c r="J17" i="19"/>
  <c r="I17" i="19"/>
  <c r="G17" i="19"/>
  <c r="F17" i="19"/>
  <c r="E17" i="19"/>
  <c r="D17" i="19"/>
  <c r="O16" i="19"/>
  <c r="M16" i="19"/>
  <c r="L16" i="19"/>
  <c r="K16" i="19"/>
  <c r="J16" i="19"/>
  <c r="I16" i="19"/>
  <c r="G16" i="19"/>
  <c r="F16" i="19"/>
  <c r="E16" i="19"/>
  <c r="D16" i="19"/>
  <c r="O15" i="19"/>
  <c r="M15" i="19"/>
  <c r="L15" i="19"/>
  <c r="K15" i="19"/>
  <c r="J15" i="19"/>
  <c r="I15" i="19"/>
  <c r="G15" i="19"/>
  <c r="F15" i="19"/>
  <c r="E15" i="19"/>
  <c r="D15" i="19"/>
  <c r="O14" i="19"/>
  <c r="M14" i="19"/>
  <c r="L14" i="19"/>
  <c r="K14" i="19"/>
  <c r="J14" i="19"/>
  <c r="I14" i="19"/>
  <c r="G14" i="19"/>
  <c r="F14" i="19"/>
  <c r="E14" i="19"/>
  <c r="D14" i="19"/>
  <c r="D10" i="19"/>
  <c r="O10" i="19"/>
  <c r="M10" i="19"/>
  <c r="L10" i="19"/>
  <c r="K10" i="19"/>
  <c r="J10" i="19"/>
  <c r="I10" i="19"/>
  <c r="G10" i="19"/>
  <c r="F10" i="19"/>
  <c r="E10" i="19"/>
  <c r="E9" i="19"/>
  <c r="D9" i="19"/>
  <c r="J16" i="75"/>
  <c r="J11" i="75"/>
  <c r="D16" i="75"/>
  <c r="D11" i="75"/>
  <c r="D37" i="74"/>
  <c r="D36" i="74"/>
  <c r="D34" i="74"/>
  <c r="D33" i="74"/>
  <c r="D29" i="74"/>
  <c r="D15" i="74"/>
  <c r="D7" i="74"/>
  <c r="D12" i="73"/>
  <c r="D9" i="73"/>
  <c r="D8" i="73"/>
  <c r="D7" i="73"/>
  <c r="K8" i="60" l="1"/>
  <c r="J8" i="60"/>
  <c r="F8" i="60"/>
  <c r="E8" i="60"/>
  <c r="D8" i="60"/>
  <c r="D9" i="55"/>
  <c r="D10" i="55"/>
  <c r="D8" i="55"/>
  <c r="K15" i="44"/>
  <c r="I13" i="44"/>
  <c r="H13" i="44"/>
  <c r="E13" i="43"/>
  <c r="D13" i="43"/>
  <c r="E11" i="43"/>
  <c r="D11" i="43"/>
  <c r="T13" i="33"/>
  <c r="M23" i="33" l="1"/>
  <c r="D23" i="33"/>
  <c r="O22" i="33"/>
  <c r="M22" i="33"/>
  <c r="N18" i="33"/>
  <c r="N17" i="33"/>
  <c r="M17" i="33"/>
  <c r="J16" i="33"/>
  <c r="I16" i="33"/>
  <c r="L15" i="33"/>
  <c r="M14" i="33"/>
  <c r="J13" i="33"/>
  <c r="H13" i="33"/>
  <c r="D9" i="33"/>
  <c r="D8" i="33"/>
  <c r="H23" i="32"/>
  <c r="F23" i="32"/>
  <c r="D23" i="32"/>
  <c r="H22" i="32"/>
  <c r="F22" i="32"/>
  <c r="D22" i="32"/>
  <c r="H18" i="32"/>
  <c r="F18" i="32"/>
  <c r="E18" i="32"/>
  <c r="D18" i="32"/>
  <c r="H17" i="32"/>
  <c r="G17" i="32"/>
  <c r="F17" i="32"/>
  <c r="E17" i="32"/>
  <c r="D17" i="32"/>
  <c r="H16" i="32"/>
  <c r="G16" i="32"/>
  <c r="F16" i="32"/>
  <c r="E16" i="32"/>
  <c r="D16" i="32"/>
  <c r="H15" i="32"/>
  <c r="G15" i="32"/>
  <c r="F15" i="32"/>
  <c r="E15" i="32"/>
  <c r="D15" i="32"/>
  <c r="H14" i="32"/>
  <c r="G14" i="32"/>
  <c r="F14" i="32"/>
  <c r="E14" i="32"/>
  <c r="D14" i="32"/>
  <c r="H13" i="32"/>
  <c r="G13" i="32"/>
  <c r="F13" i="32"/>
  <c r="E13" i="32"/>
  <c r="D13" i="32"/>
  <c r="F9" i="32"/>
  <c r="E9" i="32"/>
  <c r="D9" i="32"/>
  <c r="G8" i="32"/>
  <c r="F8" i="32"/>
  <c r="D8" i="32"/>
  <c r="E8" i="20" l="1"/>
  <c r="D9" i="13" l="1"/>
  <c r="D7" i="13" l="1"/>
  <c r="H34" i="18" l="1"/>
  <c r="H43" i="18"/>
  <c r="H42" i="18"/>
  <c r="E42" i="18"/>
  <c r="H41" i="18"/>
  <c r="G41" i="18"/>
  <c r="F41" i="18"/>
  <c r="E41" i="18"/>
  <c r="E40" i="18"/>
  <c r="H39" i="18"/>
  <c r="E39" i="18"/>
  <c r="G34" i="18"/>
  <c r="F34" i="18"/>
  <c r="E34" i="18"/>
  <c r="G33" i="18"/>
  <c r="F33" i="18"/>
  <c r="E33" i="18"/>
  <c r="G32" i="18"/>
  <c r="F32" i="18"/>
  <c r="E32" i="18"/>
  <c r="H31" i="18"/>
  <c r="G31" i="18"/>
  <c r="F31" i="18"/>
  <c r="E31" i="18"/>
  <c r="H30" i="18"/>
  <c r="G30" i="18"/>
  <c r="F30" i="18"/>
  <c r="E30" i="18"/>
  <c r="H29" i="18"/>
  <c r="G29" i="18"/>
  <c r="E29" i="18"/>
  <c r="H27" i="18"/>
  <c r="G27" i="18"/>
  <c r="F27" i="18"/>
  <c r="E27" i="18"/>
  <c r="H24" i="18"/>
  <c r="H22" i="18" l="1"/>
  <c r="E19" i="18" l="1"/>
  <c r="H17" i="18"/>
  <c r="F17" i="18"/>
  <c r="E17" i="18"/>
  <c r="H14" i="18"/>
  <c r="H13" i="18"/>
  <c r="F14" i="18"/>
  <c r="E14" i="18"/>
  <c r="F13" i="18"/>
  <c r="E13" i="18"/>
  <c r="D9" i="18"/>
  <c r="K44" i="17"/>
  <c r="K43" i="17"/>
  <c r="K30" i="17"/>
  <c r="G30" i="17"/>
  <c r="K29" i="17"/>
  <c r="G29" i="17"/>
  <c r="K26" i="17"/>
  <c r="K24" i="17"/>
  <c r="G24" i="17"/>
  <c r="K23" i="17"/>
  <c r="G23" i="17"/>
  <c r="K21" i="17"/>
  <c r="G21" i="17"/>
  <c r="K20" i="17"/>
  <c r="G20" i="17"/>
  <c r="K17" i="17"/>
  <c r="G17" i="17"/>
  <c r="K15" i="17"/>
  <c r="G15" i="17"/>
  <c r="K14" i="17"/>
  <c r="G14" i="17"/>
  <c r="K13" i="17"/>
  <c r="G13" i="17"/>
  <c r="K12" i="17"/>
  <c r="G12" i="17"/>
  <c r="K10" i="17"/>
  <c r="I44" i="17"/>
  <c r="I43" i="17"/>
  <c r="J44" i="17"/>
  <c r="J43" i="17"/>
  <c r="J30" i="17"/>
  <c r="F30" i="17"/>
  <c r="J29" i="17"/>
  <c r="F29" i="17"/>
  <c r="J26" i="17"/>
  <c r="J24" i="17"/>
  <c r="F24" i="17"/>
  <c r="J23" i="17"/>
  <c r="F23" i="17"/>
  <c r="J20" i="17"/>
  <c r="F20" i="17"/>
  <c r="J17" i="17"/>
  <c r="F17" i="17"/>
  <c r="J15" i="17"/>
  <c r="F15" i="17"/>
  <c r="J14" i="17"/>
  <c r="F14" i="17"/>
  <c r="J13" i="17"/>
  <c r="F13" i="17"/>
  <c r="J12" i="17"/>
  <c r="F12" i="17"/>
  <c r="J10" i="17"/>
  <c r="I26" i="17"/>
  <c r="I30" i="17"/>
  <c r="E30" i="17"/>
  <c r="I29" i="17"/>
  <c r="E29" i="17"/>
  <c r="I24" i="17"/>
  <c r="E24" i="17"/>
  <c r="I23" i="17"/>
  <c r="E23" i="17"/>
  <c r="I21" i="17"/>
  <c r="E21" i="17"/>
  <c r="I20" i="17"/>
  <c r="E20" i="17"/>
  <c r="I17" i="17"/>
  <c r="E17" i="17"/>
  <c r="I15" i="17"/>
  <c r="E15" i="17"/>
  <c r="I14" i="17"/>
  <c r="E14" i="17"/>
  <c r="I13" i="17"/>
  <c r="E13" i="17"/>
  <c r="I12" i="17"/>
  <c r="E12" i="17"/>
  <c r="I10" i="17"/>
  <c r="D30" i="17"/>
  <c r="D29" i="17"/>
  <c r="D24" i="17"/>
  <c r="D23" i="17"/>
  <c r="D21" i="17"/>
  <c r="D20" i="17"/>
  <c r="D17" i="17"/>
  <c r="D15" i="17"/>
  <c r="D14" i="17"/>
  <c r="D13" i="17"/>
  <c r="D12" i="17"/>
  <c r="H44" i="17"/>
  <c r="H43" i="17"/>
  <c r="H30" i="17"/>
  <c r="H29" i="17"/>
  <c r="H26" i="17"/>
  <c r="H24" i="17"/>
  <c r="H23" i="17"/>
  <c r="H21" i="17"/>
  <c r="H20" i="17"/>
  <c r="H17" i="17"/>
  <c r="H15" i="17"/>
  <c r="H14" i="17"/>
  <c r="H13" i="17"/>
  <c r="H12" i="17"/>
  <c r="H10" i="17"/>
  <c r="D15" i="16"/>
  <c r="D16" i="14"/>
  <c r="D117" i="10" l="1"/>
  <c r="D113" i="10"/>
  <c r="D109" i="10"/>
  <c r="D102" i="10"/>
  <c r="D100" i="10"/>
  <c r="D99" i="10"/>
  <c r="D98" i="10"/>
  <c r="D92" i="10"/>
  <c r="D29" i="10"/>
  <c r="D48" i="10"/>
  <c r="D12" i="10"/>
  <c r="D47" i="10"/>
  <c r="D31" i="10"/>
  <c r="D20" i="10"/>
  <c r="D17" i="10"/>
  <c r="D38" i="11"/>
  <c r="D37" i="11"/>
  <c r="D13" i="10"/>
  <c r="B33" i="6" l="1"/>
  <c r="B34" i="6" s="1"/>
  <c r="B35" i="6" s="1"/>
  <c r="B36" i="6" s="1"/>
  <c r="B37" i="6" s="1"/>
  <c r="I14" i="6" l="1"/>
  <c r="D44" i="3" l="1"/>
  <c r="D45" i="3"/>
  <c r="D12" i="3" l="1"/>
  <c r="D8" i="3"/>
  <c r="E51" i="3"/>
  <c r="E45" i="3"/>
  <c r="E44" i="3"/>
  <c r="E46" i="3" s="1"/>
  <c r="E12" i="3"/>
  <c r="E8" i="3"/>
  <c r="E9" i="3" s="1"/>
  <c r="E10" i="3" s="1"/>
  <c r="F49" i="3" l="1"/>
  <c r="F51" i="3" s="1"/>
  <c r="F50" i="3"/>
  <c r="G51" i="3"/>
  <c r="H51" i="3"/>
  <c r="F44" i="3"/>
  <c r="F46" i="3" s="1"/>
  <c r="F45" i="3"/>
  <c r="G46" i="3"/>
  <c r="H46" i="3"/>
  <c r="F30" i="3"/>
  <c r="G30" i="3"/>
  <c r="H30" i="3"/>
  <c r="F31" i="3"/>
  <c r="G31" i="3"/>
  <c r="H31" i="3"/>
  <c r="F14" i="3"/>
  <c r="F15" i="3" s="1"/>
  <c r="F16" i="3" s="1"/>
  <c r="G14" i="3"/>
  <c r="H14" i="3"/>
  <c r="G15" i="3"/>
  <c r="H15" i="3"/>
  <c r="H16" i="3" s="1"/>
  <c r="G16" i="3"/>
  <c r="F12" i="3"/>
  <c r="G12" i="3"/>
  <c r="H12" i="3"/>
  <c r="F8" i="3"/>
  <c r="F9" i="3" s="1"/>
  <c r="F10" i="3" s="1"/>
  <c r="G8" i="3"/>
  <c r="H8" i="3"/>
  <c r="G9" i="3"/>
  <c r="G10" i="3" s="1"/>
  <c r="H9" i="3"/>
  <c r="H10" i="3" s="1"/>
  <c r="D35" i="2"/>
  <c r="D31" i="2"/>
  <c r="D14" i="2"/>
  <c r="D19" i="2" s="1"/>
  <c r="E19" i="2"/>
  <c r="D18" i="2"/>
  <c r="F20" i="2"/>
  <c r="D8" i="2"/>
  <c r="E35" i="2"/>
  <c r="E36" i="2" s="1"/>
  <c r="E31" i="2"/>
  <c r="E32" i="2" s="1"/>
  <c r="E18" i="2"/>
  <c r="E14" i="2"/>
  <c r="E8" i="2"/>
  <c r="E44" i="2" l="1"/>
  <c r="E9" i="2"/>
  <c r="D11" i="21"/>
  <c r="D42" i="74"/>
  <c r="D40" i="74"/>
  <c r="D41" i="74"/>
  <c r="D39" i="74" l="1"/>
  <c r="D14" i="73"/>
  <c r="D22" i="73" s="1"/>
  <c r="D13" i="73"/>
  <c r="D21" i="73" s="1"/>
  <c r="D11" i="73"/>
  <c r="D20" i="73" s="1"/>
  <c r="D10" i="73"/>
  <c r="D19" i="73" s="1"/>
  <c r="O18" i="25"/>
  <c r="O17" i="25"/>
  <c r="H15" i="18" l="1"/>
  <c r="H12" i="18"/>
  <c r="G15" i="18"/>
  <c r="F15" i="18"/>
  <c r="F12" i="18"/>
  <c r="E21" i="18"/>
  <c r="G12" i="18" l="1"/>
  <c r="D46" i="3" l="1"/>
  <c r="E69" i="15"/>
  <c r="E70" i="15" s="1"/>
  <c r="E64" i="15"/>
  <c r="E55" i="15"/>
  <c r="E54" i="15"/>
  <c r="E40" i="15"/>
  <c r="E38" i="15" s="1"/>
  <c r="E15" i="15"/>
  <c r="E31" i="3"/>
  <c r="E30" i="3"/>
  <c r="E14" i="3"/>
  <c r="E15" i="3" s="1"/>
  <c r="E16" i="3" s="1"/>
  <c r="E72" i="15" l="1"/>
  <c r="E71" i="15"/>
  <c r="E73" i="15" s="1"/>
  <c r="D31" i="19" l="1"/>
  <c r="D8" i="13" l="1"/>
  <c r="I9" i="32" l="1"/>
  <c r="I8" i="32"/>
  <c r="E15" i="18" l="1"/>
  <c r="E12" i="18"/>
  <c r="D36" i="11" l="1"/>
  <c r="D35" i="11"/>
  <c r="D34" i="11"/>
  <c r="D31" i="11"/>
  <c r="D30" i="11"/>
  <c r="D29" i="11"/>
  <c r="D28" i="11"/>
  <c r="D27" i="11"/>
  <c r="D26" i="11"/>
  <c r="D25" i="11"/>
  <c r="D22" i="11"/>
  <c r="D21" i="11"/>
  <c r="D20" i="11"/>
  <c r="B20" i="11"/>
  <c r="B21" i="11" s="1"/>
  <c r="B22" i="11" s="1"/>
  <c r="D19" i="11"/>
  <c r="D18" i="11"/>
  <c r="D17" i="11"/>
  <c r="D16" i="11"/>
  <c r="D15" i="11"/>
  <c r="D14" i="11"/>
  <c r="D13" i="11"/>
  <c r="D12" i="11"/>
  <c r="D11" i="11"/>
  <c r="D10" i="11"/>
  <c r="D9" i="11"/>
  <c r="J29" i="6"/>
  <c r="F20" i="6" l="1"/>
  <c r="D30" i="3" l="1"/>
  <c r="D9" i="2" l="1"/>
  <c r="D36" i="2"/>
  <c r="D32" i="2"/>
  <c r="D44" i="2" l="1"/>
  <c r="D51" i="3"/>
  <c r="D9" i="3"/>
  <c r="D10" i="3" s="1"/>
  <c r="F29" i="61"/>
  <c r="D41" i="11"/>
  <c r="D14" i="3" l="1"/>
  <c r="D15" i="3" s="1"/>
  <c r="D16" i="3" s="1"/>
  <c r="D31" i="3" s="1"/>
  <c r="D54" i="15"/>
  <c r="E11" i="7"/>
  <c r="F10" i="7"/>
  <c r="F19" i="7" s="1"/>
  <c r="H10" i="20" l="1"/>
  <c r="G10" i="20"/>
  <c r="F10" i="20"/>
  <c r="E10" i="20"/>
  <c r="D10" i="20"/>
  <c r="I8" i="20"/>
  <c r="I10" i="20" s="1"/>
  <c r="F21" i="6" l="1"/>
  <c r="F10" i="6" l="1"/>
  <c r="F12" i="6" l="1"/>
  <c r="H23" i="6"/>
  <c r="G23" i="6"/>
  <c r="G8" i="7" s="1"/>
  <c r="G10" i="7" s="1"/>
  <c r="G19" i="7" s="1"/>
  <c r="J37" i="6"/>
  <c r="J36" i="6"/>
  <c r="J35" i="6"/>
  <c r="J34" i="6"/>
  <c r="J33" i="6"/>
  <c r="J32" i="6"/>
  <c r="J31" i="6"/>
  <c r="J30" i="6"/>
  <c r="J28" i="6"/>
  <c r="J27" i="6"/>
  <c r="J26" i="6"/>
  <c r="F22" i="6"/>
  <c r="F15" i="6"/>
  <c r="F19" i="6"/>
  <c r="F18" i="6"/>
  <c r="F17" i="6"/>
  <c r="J16" i="6"/>
  <c r="I13" i="6"/>
  <c r="I23" i="6" s="1"/>
  <c r="H8" i="7" s="1"/>
  <c r="H10" i="7" s="1"/>
  <c r="H19" i="7" s="1"/>
  <c r="F11" i="6"/>
  <c r="F9" i="6"/>
  <c r="G29" i="27"/>
  <c r="D29" i="27"/>
  <c r="I29" i="27"/>
  <c r="K33" i="25"/>
  <c r="J33" i="25"/>
  <c r="I33" i="25"/>
  <c r="H33" i="25"/>
  <c r="G33" i="25"/>
  <c r="F33" i="25"/>
  <c r="O33" i="25"/>
  <c r="N33" i="25"/>
  <c r="M33" i="25"/>
  <c r="L33" i="25"/>
  <c r="E33" i="25"/>
  <c r="D33" i="25"/>
  <c r="I19" i="23"/>
  <c r="G19" i="23"/>
  <c r="E19" i="23"/>
  <c r="K19" i="23"/>
  <c r="J19" i="23"/>
  <c r="H19" i="23"/>
  <c r="F19" i="23"/>
  <c r="D19" i="23"/>
  <c r="R31" i="19"/>
  <c r="Q31" i="19"/>
  <c r="P31" i="19"/>
  <c r="O31" i="19"/>
  <c r="N31" i="19"/>
  <c r="M31" i="19"/>
  <c r="K31" i="19"/>
  <c r="L31" i="19"/>
  <c r="J31" i="19"/>
  <c r="H31" i="19"/>
  <c r="I31" i="19"/>
  <c r="G31" i="19"/>
  <c r="F31" i="19"/>
  <c r="E31" i="19"/>
  <c r="J38" i="6" l="1"/>
  <c r="H29" i="27"/>
  <c r="F29" i="27"/>
  <c r="E29" i="27"/>
  <c r="I29" i="61" l="1"/>
  <c r="H29" i="61"/>
  <c r="D17" i="55"/>
  <c r="N18" i="44"/>
  <c r="M18" i="44"/>
  <c r="J18" i="44"/>
  <c r="I18" i="44"/>
  <c r="H18" i="44"/>
  <c r="G18" i="44"/>
  <c r="F18" i="44"/>
  <c r="E18" i="44"/>
  <c r="D18" i="44"/>
  <c r="O17" i="44"/>
  <c r="O16" i="44"/>
  <c r="K18" i="44"/>
  <c r="O14" i="44"/>
  <c r="O13" i="44"/>
  <c r="O12" i="44"/>
  <c r="O11" i="44"/>
  <c r="O10" i="44"/>
  <c r="O9" i="44"/>
  <c r="O8" i="44"/>
  <c r="K17" i="42"/>
  <c r="J17" i="42"/>
  <c r="I17" i="42"/>
  <c r="H17" i="42"/>
  <c r="O15" i="44" l="1"/>
  <c r="O18" i="44" s="1"/>
  <c r="L18" i="44"/>
  <c r="R24" i="33"/>
  <c r="Q24" i="33"/>
  <c r="P24" i="33"/>
  <c r="K24" i="33"/>
  <c r="G24" i="33"/>
  <c r="F24" i="33"/>
  <c r="E24" i="33"/>
  <c r="S23" i="33"/>
  <c r="T23" i="33" s="1"/>
  <c r="O24" i="33"/>
  <c r="S22" i="33"/>
  <c r="T22" i="33" s="1"/>
  <c r="S21" i="33"/>
  <c r="T21" i="33" s="1"/>
  <c r="S20" i="33"/>
  <c r="T20" i="33" s="1"/>
  <c r="S19" i="33"/>
  <c r="T19" i="33" s="1"/>
  <c r="S18" i="33"/>
  <c r="T18" i="33" s="1"/>
  <c r="S17" i="33"/>
  <c r="T17" i="33" s="1"/>
  <c r="S16" i="33"/>
  <c r="T16" i="33" s="1"/>
  <c r="I24" i="33"/>
  <c r="L24" i="33"/>
  <c r="S14" i="33"/>
  <c r="T14" i="33" s="1"/>
  <c r="J24" i="33"/>
  <c r="H24" i="33"/>
  <c r="S12" i="33"/>
  <c r="T12" i="33" s="1"/>
  <c r="S11" i="33"/>
  <c r="T11" i="33" s="1"/>
  <c r="S10" i="33"/>
  <c r="T10" i="33" s="1"/>
  <c r="S9" i="33"/>
  <c r="T9" i="33" s="1"/>
  <c r="S8" i="33"/>
  <c r="T8" i="33" s="1"/>
  <c r="M24" i="33" l="1"/>
  <c r="N24" i="33"/>
  <c r="S15" i="33"/>
  <c r="T15" i="33" s="1"/>
  <c r="I17" i="32"/>
  <c r="I22" i="32"/>
  <c r="I14" i="32"/>
  <c r="F24" i="32"/>
  <c r="I16" i="32"/>
  <c r="H24" i="32"/>
  <c r="I15" i="32"/>
  <c r="I18" i="32"/>
  <c r="G24" i="32"/>
  <c r="E24" i="32"/>
  <c r="I23" i="32"/>
  <c r="D24" i="32"/>
  <c r="D24" i="33"/>
  <c r="S13" i="33"/>
  <c r="I13" i="32"/>
  <c r="H36" i="18"/>
  <c r="G36" i="18"/>
  <c r="F36" i="18"/>
  <c r="E36" i="18"/>
  <c r="H11" i="18"/>
  <c r="D10" i="18"/>
  <c r="H10" i="18" s="1"/>
  <c r="H9" i="18"/>
  <c r="H44" i="18" s="1"/>
  <c r="K45" i="17"/>
  <c r="J45" i="17"/>
  <c r="I45" i="17"/>
  <c r="H45" i="17"/>
  <c r="K35" i="17"/>
  <c r="K40" i="17" s="1"/>
  <c r="J35" i="17"/>
  <c r="J40" i="17" s="1"/>
  <c r="I35" i="17"/>
  <c r="I40" i="17" s="1"/>
  <c r="H35" i="17"/>
  <c r="H40" i="17" s="1"/>
  <c r="G35" i="17"/>
  <c r="G40" i="17" s="1"/>
  <c r="F35" i="17"/>
  <c r="F40" i="17" s="1"/>
  <c r="E35" i="17"/>
  <c r="E40" i="17" s="1"/>
  <c r="D35" i="17"/>
  <c r="D40" i="17" s="1"/>
  <c r="S24" i="33" l="1"/>
  <c r="T24" i="33"/>
  <c r="I24" i="32"/>
  <c r="D9" i="16"/>
  <c r="D7" i="16" s="1"/>
  <c r="D69" i="15"/>
  <c r="D64" i="15"/>
  <c r="E52" i="15"/>
  <c r="D52" i="15"/>
  <c r="D38" i="15"/>
  <c r="E35" i="15"/>
  <c r="D35" i="15"/>
  <c r="E27" i="15"/>
  <c r="D27" i="15"/>
  <c r="D32" i="11" l="1"/>
  <c r="D23" i="11"/>
  <c r="D7" i="14" s="1"/>
  <c r="D9" i="15" s="1"/>
  <c r="D15" i="15" s="1"/>
  <c r="D55" i="15" s="1"/>
  <c r="J14" i="6"/>
  <c r="D18" i="10"/>
  <c r="E58" i="15" l="1"/>
  <c r="D57" i="15"/>
  <c r="E59" i="15"/>
  <c r="D58" i="15"/>
  <c r="D70" i="15"/>
  <c r="D72" i="15" s="1"/>
  <c r="D59" i="15"/>
  <c r="D71" i="15"/>
  <c r="D73" i="15" s="1"/>
  <c r="E57" i="15"/>
  <c r="D21" i="14"/>
  <c r="F14" i="6"/>
  <c r="F23" i="6" s="1"/>
  <c r="E8" i="7" s="1"/>
  <c r="E10" i="7" s="1"/>
  <c r="E19" i="7" s="1"/>
  <c r="J23" i="6"/>
  <c r="D49" i="10"/>
  <c r="D70" i="10" l="1"/>
  <c r="D91" i="10" s="1"/>
  <c r="D94" i="10" s="1"/>
  <c r="D95" i="10" s="1"/>
  <c r="D96" i="10" s="1"/>
  <c r="D103" i="10" s="1"/>
  <c r="D38" i="6"/>
  <c r="B27" i="6"/>
  <c r="B28" i="6" s="1"/>
  <c r="D23" i="6"/>
  <c r="D8" i="7" s="1"/>
  <c r="D10" i="7" s="1"/>
  <c r="D19" i="7" s="1"/>
  <c r="B10" i="6"/>
  <c r="B11" i="6" s="1"/>
  <c r="B12" i="6" s="1"/>
  <c r="B13" i="6" s="1"/>
  <c r="B14" i="6" s="1"/>
  <c r="B15" i="6" s="1"/>
  <c r="B16" i="6" s="1"/>
  <c r="B17" i="6" s="1"/>
  <c r="B18" i="6" s="1"/>
  <c r="B19" i="6" s="1"/>
  <c r="B20" i="6" s="1"/>
  <c r="B21" i="6" s="1"/>
  <c r="B22" i="6" s="1"/>
  <c r="B29" i="6" l="1"/>
  <c r="B30" i="6" s="1"/>
  <c r="B31" i="6" s="1"/>
  <c r="B32" i="6" s="1"/>
  <c r="F9" i="2"/>
  <c r="F8" i="2"/>
  <c r="F10" i="2"/>
  <c r="F11" i="2"/>
  <c r="F12" i="2"/>
  <c r="F13" i="2"/>
  <c r="F14" i="2"/>
  <c r="F15" i="2"/>
  <c r="F16" i="2"/>
  <c r="F17" i="2"/>
  <c r="F18" i="2"/>
  <c r="F19" i="2"/>
  <c r="F25" i="2"/>
  <c r="F26" i="2"/>
  <c r="F27" i="2"/>
  <c r="F28" i="2"/>
  <c r="F29" i="2"/>
  <c r="F30" i="2"/>
  <c r="F31" i="2"/>
  <c r="F32" i="2"/>
  <c r="F33" i="2"/>
  <c r="F34" i="2"/>
  <c r="F35" i="2"/>
  <c r="F36" i="2"/>
  <c r="F37" i="2"/>
  <c r="F38" i="2"/>
  <c r="F39" i="2"/>
  <c r="F44" i="2" l="1"/>
</calcChain>
</file>

<file path=xl/sharedStrings.xml><?xml version="1.0" encoding="utf-8"?>
<sst xmlns="http://schemas.openxmlformats.org/spreadsheetml/2006/main" count="2971" uniqueCount="1595">
  <si>
    <t>I alt</t>
  </si>
  <si>
    <t>Ikke relevant</t>
  </si>
  <si>
    <t>Beløb under tærsklerne for fradrag (omfattet
af en risikovægt på 250 %)</t>
  </si>
  <si>
    <t xml:space="preserve">Heraf i henhold til den avancerede målemetode </t>
  </si>
  <si>
    <t>EU 23c</t>
  </si>
  <si>
    <t xml:space="preserve">Heraf i henhold til standardmetoden </t>
  </si>
  <si>
    <t>EU 23b</t>
  </si>
  <si>
    <t xml:space="preserve">Heraf i henhold til basisindikatormetoden </t>
  </si>
  <si>
    <t>EU 23a</t>
  </si>
  <si>
    <t xml:space="preserve">Operationel risiko </t>
  </si>
  <si>
    <t>Store eksponeringer</t>
  </si>
  <si>
    <t>EU 22a</t>
  </si>
  <si>
    <t xml:space="preserve">Heraf i henhold til metoden med interne modeller </t>
  </si>
  <si>
    <t>Positionsrisiko, valutarisiko og råvarerisiko (markedsrisiko)</t>
  </si>
  <si>
    <t>Heraf 1 250 % / fradrag</t>
  </si>
  <si>
    <t>EU 19a</t>
  </si>
  <si>
    <t xml:space="preserve">Heraf i henhold til SEC-SA-metoden </t>
  </si>
  <si>
    <t>Heraf i henhold til SEC-ERBA (undtagen IAA)</t>
  </si>
  <si>
    <t xml:space="preserve">Heraf i henhold til SEC-IRBA-metoden </t>
  </si>
  <si>
    <t>Securitiseringseksponeringer uden for handelsbeholdningen (efter loftet)</t>
  </si>
  <si>
    <t xml:space="preserve">Afviklingsrisiko </t>
  </si>
  <si>
    <t>Heraf anden modpartskreditrisiko</t>
  </si>
  <si>
    <t>Heraf kreditværdijustering — CVA</t>
  </si>
  <si>
    <t>EU 8b</t>
  </si>
  <si>
    <t>Heraf eksponeringer mod en CCP</t>
  </si>
  <si>
    <t>EU 8a</t>
  </si>
  <si>
    <t>Heraf i henhold til metoden med interne modeller (IMM)</t>
  </si>
  <si>
    <t xml:space="preserve">Modpartskreditrisiko — CCR </t>
  </si>
  <si>
    <t xml:space="preserve">Heraf i henhold til den avancerede IRB-metode (Advanced IRB, A-IRB) </t>
  </si>
  <si>
    <t>Heraf: aktier i henhold til den forenklede risikovægtningsmetode</t>
  </si>
  <si>
    <t>EU 4a</t>
  </si>
  <si>
    <t>Heraf i henhold til kategoriseringsmetoden</t>
  </si>
  <si>
    <t xml:space="preserve">Heraf i henhold til den grundlæggende IRB-metode (Foundation IRB, F-IRB) </t>
  </si>
  <si>
    <t>Kreditrisiko (undtagen modpartskreditrisiko)</t>
  </si>
  <si>
    <t>%</t>
  </si>
  <si>
    <t>Samlede risikoeksponeringer (TREA)</t>
  </si>
  <si>
    <t>Skema EU OV1 – Oversigt over samlede risikoeksponeringer</t>
  </si>
  <si>
    <t>NSFR (%)</t>
  </si>
  <si>
    <t>Krævet stabil finansiering i alt</t>
  </si>
  <si>
    <t>Tilgængelig stabil finansiering i alt</t>
  </si>
  <si>
    <t>Net stable funding ratio</t>
  </si>
  <si>
    <t>Likviditetsdækningsgrad (%)</t>
  </si>
  <si>
    <t>Nettopengestrømme i alt (justeret værdi)</t>
  </si>
  <si>
    <t xml:space="preserve">Indgående pengestrømme — Samlet vægtet værdi </t>
  </si>
  <si>
    <t>EU 16b</t>
  </si>
  <si>
    <t xml:space="preserve">Udgående pengestrømme — Samlet vægtet værdi </t>
  </si>
  <si>
    <t>EU 16a</t>
  </si>
  <si>
    <t>Likvide aktiver af høj kvalitet (HQLA) i alt (vægtet værdi — gennemsnit)</t>
  </si>
  <si>
    <t>Likviditetsdækningsgrad</t>
  </si>
  <si>
    <t>Sammenlagt gearingsgradkrav (%)</t>
  </si>
  <si>
    <t>EU 14e</t>
  </si>
  <si>
    <t>Krav vedrørende gearingsgradbuffer (%)</t>
  </si>
  <si>
    <t>EU 14d</t>
  </si>
  <si>
    <t>Gearingsgradbuffer og sammenlagt gearingsgradkrav (som en procentdel af det samlede eksponeringsmål)</t>
  </si>
  <si>
    <t>Samlede SREP-gearingsgradkrav (%)</t>
  </si>
  <si>
    <t>EU 14c</t>
  </si>
  <si>
    <t xml:space="preserve">     heraf: i form af egentlig kernekapital (procentpoint)</t>
  </si>
  <si>
    <t>EU 14b</t>
  </si>
  <si>
    <t xml:space="preserve">Krav om yderligere kapitalgrundlag til at tage højde for risikoen for overdreven gearing (%) </t>
  </si>
  <si>
    <t>EU 14a</t>
  </si>
  <si>
    <r>
      <rPr>
        <b/>
        <sz val="11"/>
        <color theme="1"/>
        <rFont val="Calibri"/>
        <family val="2"/>
        <scheme val="minor"/>
      </rPr>
      <t>Krav om yderligere kapitalgrundlag til at tage højde for risikoen for overdreven gearing (som en procentdel af det samlede eksponeringsmål)</t>
    </r>
  </si>
  <si>
    <t>Gearingsgrad (%)</t>
  </si>
  <si>
    <t>Samlet eksponeringsmål</t>
  </si>
  <si>
    <t>Gearingsgrad</t>
  </si>
  <si>
    <t>Tilgængelig egentlig kernekapital efter opfyldelse af samlede SREP-kapitalgrundlagskrav (%)</t>
  </si>
  <si>
    <t>Sammenlagte kapitalkrav (%)</t>
  </si>
  <si>
    <t>EU 11a</t>
  </si>
  <si>
    <t>Kombineret bufferkrav (%)</t>
  </si>
  <si>
    <t>Buffer for andre systemisk vigtige institutter (%)</t>
  </si>
  <si>
    <t>EU 10a</t>
  </si>
  <si>
    <t>Buffer for globale systemisk vigtige institutter (%)</t>
  </si>
  <si>
    <t>Systemisk risikobuffer (%)</t>
  </si>
  <si>
    <t>EU 9a</t>
  </si>
  <si>
    <t>Institutspecifik kontracyklisk kapitalbuffer (%)</t>
  </si>
  <si>
    <t>Bevaringsbuffer som følge af makroprudentiel eller systemisk risiko identificeret på medlemsstatsniveau (%)</t>
  </si>
  <si>
    <t>Kapitalbevaringsbuffer (%)</t>
  </si>
  <si>
    <t>Kombineret bufferkrav og sammenlagt kapitalkrav (som en procentdel af den risikovægtede eksponering)</t>
  </si>
  <si>
    <t>Samlede SREP-kapitalgrundlagskrav (%)</t>
  </si>
  <si>
    <t>EU 7d</t>
  </si>
  <si>
    <t xml:space="preserve">     heraf: i form af kernekapital (procentpoint)</t>
  </si>
  <si>
    <t>EU 7c</t>
  </si>
  <si>
    <t>EU 7b</t>
  </si>
  <si>
    <r>
      <rPr>
        <sz val="11"/>
        <color theme="1"/>
        <rFont val="Calibri"/>
        <family val="2"/>
        <scheme val="minor"/>
      </rPr>
      <t>Krav om yderligere kapitalgrundlag til at tage højde for andre risici end risikoen for overdreven gearing (%)</t>
    </r>
    <r>
      <rPr>
        <sz val="11"/>
        <color rgb="FF000000"/>
        <rFont val="Calibri"/>
        <family val="2"/>
        <scheme val="minor"/>
      </rPr>
      <t xml:space="preserve"> </t>
    </r>
  </si>
  <si>
    <t>EU 7a</t>
  </si>
  <si>
    <t>Krav om yderligere kapitalgrundlag til at tage højde for andre risici end risikoen for overdreven gearing (som en procentdel af den risikovægtede eksponering)</t>
  </si>
  <si>
    <t>Kapitalprocent i alt (%)</t>
  </si>
  <si>
    <t>Kernekapitalprocent (%)</t>
  </si>
  <si>
    <r>
      <rPr>
        <sz val="11"/>
        <color theme="1"/>
        <rFont val="Calibri"/>
        <family val="2"/>
        <scheme val="minor"/>
      </rPr>
      <t>Egentlig kernekapitalprocent (%)</t>
    </r>
  </si>
  <si>
    <r>
      <rPr>
        <b/>
        <sz val="11"/>
        <color rgb="FF000000"/>
        <rFont val="Calibri"/>
        <family val="2"/>
        <scheme val="minor"/>
      </rPr>
      <t>Kapitalprocenter (som en procentdel af den risikovægtede eksponering)</t>
    </r>
  </si>
  <si>
    <t>Samlet risikoeksponering</t>
  </si>
  <si>
    <t>Risikovægtede eksponeringer</t>
  </si>
  <si>
    <t xml:space="preserve">Samlet kapital </t>
  </si>
  <si>
    <t xml:space="preserve">Kernekapital </t>
  </si>
  <si>
    <t xml:space="preserve">Egentlig kernekapital (CET1) </t>
  </si>
  <si>
    <t>Tilgængeligt kapitalgrundlag (beløb)</t>
  </si>
  <si>
    <t>e</t>
  </si>
  <si>
    <t>d</t>
  </si>
  <si>
    <t>c</t>
  </si>
  <si>
    <t>Skema EU KM1 – Skema om væsentlige målekriterier</t>
  </si>
  <si>
    <t>Kapitalgrundlagsinstrumenter i forsikrings-, genforsikrings eller forsikringsholdingselskaber, som ikke fratrækkes kapitalgrundlaget</t>
  </si>
  <si>
    <t>Risikoeksponering</t>
  </si>
  <si>
    <t>Eksponeringsværdi</t>
  </si>
  <si>
    <t>b</t>
  </si>
  <si>
    <t>a</t>
  </si>
  <si>
    <t>Skema EU INS1 – Forsikringsinteresser</t>
  </si>
  <si>
    <t>Det finansielle konglomerats kapitalprocent (%)</t>
  </si>
  <si>
    <t xml:space="preserve">Krav om yderligere kapitalgrundlag til det finansielle konglomerat (beløb) </t>
  </si>
  <si>
    <t>T</t>
  </si>
  <si>
    <t>Skema EU INS2 – Finansielle konglomerater — Oplysninger om kapitalgrundlag og kapitalprocent</t>
  </si>
  <si>
    <t>N/A</t>
  </si>
  <si>
    <t xml:space="preserve">Skema EU LI1 – Forskelle mellem de regnskabsmæssige rammer og rammerne for tilsynsmæssig konsolidering og sammenstilling af regnskabskategorierne og lovmæssigt fastsatte risikokategorier </t>
  </si>
  <si>
    <t>f</t>
  </si>
  <si>
    <t>g</t>
  </si>
  <si>
    <t xml:space="preserve"> </t>
  </si>
  <si>
    <t>Regnskabsmæssige værdier som indberettet i offentliggjorte regnskaber</t>
  </si>
  <si>
    <t>Regnskabsmæssige værdier inden for rammerne for tilsynsmæssig konsolidering</t>
  </si>
  <si>
    <t>Regnskabsmæssige værdier af poster</t>
  </si>
  <si>
    <t>Ikke omfattet af kapitalgrundlagskrav eller omfattet af fradrag i kapitalgrundlag</t>
  </si>
  <si>
    <t>Opdeling efter aktivklasser i overensstemmelse med balancen i de offentliggjorte regnskaber</t>
  </si>
  <si>
    <t xml:space="preserve">Kassebeholdning og anfordringstilgodehavender hos centralbanker </t>
  </si>
  <si>
    <t xml:space="preserve">Tilgodehavender hos kreditinstitutter og centralbanker </t>
  </si>
  <si>
    <t xml:space="preserve">Udlån og andre tilgodehavender til dagsværdi </t>
  </si>
  <si>
    <t xml:space="preserve">Udlån og andre tilgodehavender til amortiseret kostpris </t>
  </si>
  <si>
    <t xml:space="preserve">Obligationer til dagsværdi </t>
  </si>
  <si>
    <t xml:space="preserve">Aktier m.v. </t>
  </si>
  <si>
    <t>Kapitalandele i associerede virksomheder</t>
  </si>
  <si>
    <t xml:space="preserve">Aktiver tilknyttet puljeordninger </t>
  </si>
  <si>
    <t>Grunde og bygninger i alt</t>
  </si>
  <si>
    <t xml:space="preserve">Øvrige materielle aktiver </t>
  </si>
  <si>
    <t>Aktuelle skatteaktiver</t>
  </si>
  <si>
    <t xml:space="preserve">Andre aktiver </t>
  </si>
  <si>
    <t xml:space="preserve">Periodeafgrænsningsposter </t>
  </si>
  <si>
    <t xml:space="preserve">Aktiver i alt </t>
  </si>
  <si>
    <t>Opdeling efter passivklasser i overensstemmelse med balancen i de offentliggjorte regnskaber</t>
  </si>
  <si>
    <t>1</t>
  </si>
  <si>
    <t xml:space="preserve">Gæld til kreditinstitutter og centralbanker </t>
  </si>
  <si>
    <t xml:space="preserve">Indlån og anden gæld </t>
  </si>
  <si>
    <t xml:space="preserve">Indlån i puljeordninger </t>
  </si>
  <si>
    <t xml:space="preserve">Andre passiver </t>
  </si>
  <si>
    <t xml:space="preserve">Aktiekapital </t>
  </si>
  <si>
    <t>Opskrivningshenlæggelser</t>
  </si>
  <si>
    <t xml:space="preserve">Reserve for sikringsinstrumenter </t>
  </si>
  <si>
    <t xml:space="preserve">Overført resultat  </t>
  </si>
  <si>
    <t xml:space="preserve">Foreslået udbytte </t>
  </si>
  <si>
    <t xml:space="preserve">Passiver i alt </t>
  </si>
  <si>
    <t xml:space="preserve">Skema EU LI2 – Primære kilder til forskelle mellem de tilsynsmæssige eksponeringsbeløb og regnskabsmæssige værdier </t>
  </si>
  <si>
    <t xml:space="preserve">Poster omfattet af </t>
  </si>
  <si>
    <t>Kreditrisikoramme</t>
  </si>
  <si>
    <t xml:space="preserve">Securitiseringsramme </t>
  </si>
  <si>
    <t xml:space="preserve">Modpartskreditrisikoramme </t>
  </si>
  <si>
    <t>Markedsrisikoramme</t>
  </si>
  <si>
    <t>Regnskabsmæssig værdi af aktiver inden for rammerne for tilsynsmæssig konsolidering (jf. skema LI1)</t>
  </si>
  <si>
    <t>Regnskabsmæssig værdi af passiver inden for rammerne for tilsynsmæssig konsolidering (jf. skema LI1)</t>
  </si>
  <si>
    <t>Samlet nettobeløb inden for rammerne for tilsynsmæssig konsolidering</t>
  </si>
  <si>
    <t>Ikkebalanceførte beløb</t>
  </si>
  <si>
    <t xml:space="preserve">Forskelle i værdiansættelser </t>
  </si>
  <si>
    <t>Forskelle pga. forskellige nettingregler ud over dem, der allerede er inkluderet i række 2</t>
  </si>
  <si>
    <t>Forskelle pga. hensyntagen til bestemmelser</t>
  </si>
  <si>
    <t>Forskelle pga. anvendelse af kreditrisikoreduktionsteknikker (CRM)</t>
  </si>
  <si>
    <t>Forskelle pga. kreditkonverteringsfaktorer</t>
  </si>
  <si>
    <t>Forskelle pga. securitisering med risikooverførsel</t>
  </si>
  <si>
    <t>Andre forskelle</t>
  </si>
  <si>
    <t>Eksponeringer overvejet i tilsynsøjemed</t>
  </si>
  <si>
    <t xml:space="preserve">Skema EU LI3 – Skitsering af forskellene i konsolideringens omfang (enhed for enhed) </t>
  </si>
  <si>
    <t>h</t>
  </si>
  <si>
    <t>Enhedens navn</t>
  </si>
  <si>
    <t>Metode for regnskabsmæssig konsolidering</t>
  </si>
  <si>
    <t>Metode for tilsynsmæssig konsolidering</t>
  </si>
  <si>
    <t>Beskrivelse af enheden</t>
  </si>
  <si>
    <t>Fuld konsolidering</t>
  </si>
  <si>
    <t>Proportional konsolidering</t>
  </si>
  <si>
    <t>Den indre værdis metode</t>
  </si>
  <si>
    <t>Hverken konsolideret eller fratrukket</t>
  </si>
  <si>
    <t>Fratrukket</t>
  </si>
  <si>
    <t>X</t>
  </si>
  <si>
    <t>Kreditinstitut</t>
  </si>
  <si>
    <t>Skema EU PV1 – Justeringer som følge af forsigtig værdiansættelse (PVA)</t>
  </si>
  <si>
    <t>Fast format</t>
  </si>
  <si>
    <t>EU e1</t>
  </si>
  <si>
    <t>EU e2</t>
  </si>
  <si>
    <t>Risikokategori</t>
  </si>
  <si>
    <t>AVA på kategoriniveau</t>
  </si>
  <si>
    <t>Aktier</t>
  </si>
  <si>
    <t>Renter</t>
  </si>
  <si>
    <t>Valuta</t>
  </si>
  <si>
    <t>Lån</t>
  </si>
  <si>
    <t>Råvarer</t>
  </si>
  <si>
    <t>AVA for ikke optjente kreditspænd</t>
  </si>
  <si>
    <t>Markedsprisusikkerhed</t>
  </si>
  <si>
    <t>Omkostninger ved at lukke positioner</t>
  </si>
  <si>
    <t>Koncentrerede positioner</t>
  </si>
  <si>
    <t>Forfald før aftalt tid</t>
  </si>
  <si>
    <t>Modelrisiko</t>
  </si>
  <si>
    <t>Operationel risiko</t>
  </si>
  <si>
    <t>Yderligere værdijusteringer (AVA'er) i alt</t>
  </si>
  <si>
    <t>Skema EU CC1 — Sammensætning af lovpligtigt kapitalgrundlag</t>
  </si>
  <si>
    <t xml:space="preserve"> a)</t>
  </si>
  <si>
    <t xml:space="preserve">  b)</t>
  </si>
  <si>
    <t xml:space="preserve">Egentlig kernekapital:  instrumenter og reserver                                             </t>
  </si>
  <si>
    <t xml:space="preserve">Kapitalinstrumenter og overkurs ved emission i tilknytning hertil </t>
  </si>
  <si>
    <t xml:space="preserve">     heraf: instrumenttype 1</t>
  </si>
  <si>
    <t xml:space="preserve">     heraf: instrumenttype 2</t>
  </si>
  <si>
    <t xml:space="preserve">     heraf: instrumenttype 3</t>
  </si>
  <si>
    <t xml:space="preserve">Overført resultat </t>
  </si>
  <si>
    <t>Akkumuleret anden totalindkomst (og andre reserver)</t>
  </si>
  <si>
    <t>EU-3a</t>
  </si>
  <si>
    <t>Midler til dækning af generelle kreditinstitutrisici</t>
  </si>
  <si>
    <t xml:space="preserve">Beløb for kvalificerede poster omhandlet i artikel 484, stk. 3, i CRR og overkurs ved emission i tilknytning hertil underlagt udfasning fra egentlig kernekapital </t>
  </si>
  <si>
    <t>Minoritetsinteresser (beløb tilladt i den konsoliderede egentlige kernekapital)</t>
  </si>
  <si>
    <t>EU-5a</t>
  </si>
  <si>
    <t xml:space="preserve">Uafhængigt kontrollerede foreløbige overskud fratrukket forventede udgifter eller udbytter </t>
  </si>
  <si>
    <t>Egentlig kernekapital før lovpligtige justeringer</t>
  </si>
  <si>
    <t>Egentlig kernekapital: lovpligtige justeringer </t>
  </si>
  <si>
    <t>Yderligere værdijusteringer (negativt beløb)</t>
  </si>
  <si>
    <t>Immaterielle aktiver (fratrukket tilhørende skatteforpligtelser) (negativt beløb)</t>
  </si>
  <si>
    <t>Udskudte skatteaktiver, som afhænger af fremtidig rentabilitet, bortset fra aktiver, som skyldes midlertidige forskelle (fratrukket tilknyttede skatteforpligtelser, hvis betingelserne i artikel 38, stk. 3, i CRR er opfyldt) (negativt beløb)</t>
  </si>
  <si>
    <t>Dagsværdireserver i relation til gevinst eller tab på sikring af pengestrømme for finansielle instrumenter, som ikke er værdiansat til dagsværdi</t>
  </si>
  <si>
    <t xml:space="preserve">Negative beløb, der fremkommer ved beregningen af forventede tab </t>
  </si>
  <si>
    <t>Stigning i egenkapitalen, som er genereret af securitiserede aktiver (negativt beløb)</t>
  </si>
  <si>
    <t>Gevinster eller tab på forpligtelser værdiansat til dagsværdi, som skyldes ændringer i instituttets egen kreditsituation</t>
  </si>
  <si>
    <t>Aktiver i ydelsesbaserede pensionskasser (negativt beløb)</t>
  </si>
  <si>
    <t>Et instituts direkte, indirekte og syntetiske besiddelser af egne egentlige kernekapitalinstrumenter (negativt beløb)</t>
  </si>
  <si>
    <t>Direkte, indirekte og syntetiske besiddelser af egentlige kernekapitalinstrumenter i enheder i den finansielle sektor, når disse enheder har en besiddelse i krydsejerskab med instituttet, og ejerskabet er blevet indgået for kunstigt at øge instituttets kapitalgrundlag (negativt beløb)</t>
  </si>
  <si>
    <t>Instituttets relevante direkte, indirekte og syntetiske besiddelser af egentlige kernekapitalinstrumenter i enheder i den finansielle sektor, når instituttet ikke har væsentlige investeringer i disse enheder (beløb over tærsklen på 10 % og fratrukket anerkendte korte positioner) (negativt beløb)</t>
  </si>
  <si>
    <t>Instituttets relevante direkte, indirekte og syntetiske besiddelser af egentlige kernekapitalinstrumenter i enheder i den finansielle sektor, når instituttet har væsentlige investeringer i disse enheder (beløb over tærsklen på 10 % og fratrukket anerkendte korte positioner) (negativt beløb)</t>
  </si>
  <si>
    <t>EU-20a</t>
  </si>
  <si>
    <t>Eksponeringsværdien af følgende poster, som opfylder betingelserne for at kunne tildeles en risikovægt på 1 250 %, hvis instituttet vælger fradragsalternativet</t>
  </si>
  <si>
    <t>EU-20b</t>
  </si>
  <si>
    <t xml:space="preserve">     heraf: kvalificerede andele uden for den finansielle sektor (negativt beløb)</t>
  </si>
  <si>
    <t>EU-20c</t>
  </si>
  <si>
    <t xml:space="preserve">     heraf: securitiseringspositioner (negativt beløb)</t>
  </si>
  <si>
    <t>EU-20d</t>
  </si>
  <si>
    <t xml:space="preserve">     heraf: leveringsrisiko (free deliveries) (negativt beløb)</t>
  </si>
  <si>
    <t>Beløb, der overstiger tærsklen på 17,65 % (negativt beløb)</t>
  </si>
  <si>
    <t xml:space="preserve">     heraf: instituttets direkte, indirekte og syntetiske besiddelser af egentlige kernekapitalinstrumenter i enheder i den finansielle sektor, når instituttet har væsentlige investeringer i disse enheder</t>
  </si>
  <si>
    <t xml:space="preserve">     heraf: udskudte skatteaktiver, som skyldes midlertidige forskelle</t>
  </si>
  <si>
    <t>EU-25a</t>
  </si>
  <si>
    <t>Tab i det løbende regnskabsår (negativt beløb)</t>
  </si>
  <si>
    <t>EU-25b</t>
  </si>
  <si>
    <t>Forventet skat vedrørende egentlige kernekapitalposter, undtagen når instituttet behørigt tilpasser størrelsen af de egentlige kernekapitalposter, hvis skatten reducerer det beløb, hvormed disse poster kan anvendes til dækning af risici eller tab (negativt beløb)</t>
  </si>
  <si>
    <t>27a</t>
  </si>
  <si>
    <t>Samlede lovpligtige justeringer af egentlig kernekapital</t>
  </si>
  <si>
    <t xml:space="preserve">Egentlig kernekapital </t>
  </si>
  <si>
    <t>Hybrid kernekapital: instrumenter</t>
  </si>
  <si>
    <t>Kapitalinstrumenter og overkurs ved emission i tilknytning hertil</t>
  </si>
  <si>
    <t xml:space="preserve">     heraf: klassificeret som egenkapital i henhold til de gældende regnskabsstandarder</t>
  </si>
  <si>
    <t xml:space="preserve">     heraf: klassificeret som forpligtelser i henhold til de gældende regnskabsstandarder</t>
  </si>
  <si>
    <t>Beløb for kvalificerede poster omhandlet i artikel 484, stk. 4, i CRR og overkurs ved emission i tilknytning hertil underlagt udfasning fra hybrid kernekapital</t>
  </si>
  <si>
    <t>EU-33a</t>
  </si>
  <si>
    <t>Beløb for kvalificerede poster omhandlet i artikel 494a, stk. 1, i CRR underlagt udfasning fra hybrid kernekapital</t>
  </si>
  <si>
    <t>EU-33b</t>
  </si>
  <si>
    <t>Beløb for kvalificerede poster omhandlet i artikel 494b, stk. 1, i CRR underlagt udfasning fra hybrid kernekapital</t>
  </si>
  <si>
    <t xml:space="preserve">Kvalificerende kernekapital indregnet i den konsoliderede hybride kernekapital (herunder minoritetsinteresser, der ikke er indregnet i række 5), som er udstedt af datterselskaber og indehaves af tredjemand </t>
  </si>
  <si>
    <t xml:space="preserve">    heraf: instrumenter udstedt af datterselskaber og underlagt udfasning </t>
  </si>
  <si>
    <t xml:space="preserve">   Hybrid kernekapital før lovpligtige justeringer</t>
  </si>
  <si>
    <t>Hybrid kernekapital: lovpligtige justeringer</t>
  </si>
  <si>
    <t>Et instituts direkte, indirekte og syntetiske besiddelser af egne hybride kernekapitalinstrumenter (negativt beløb)</t>
  </si>
  <si>
    <t>Direkte, indirekte og syntetiske besiddelser af hybride kernekapitalinstrumenter i enheder i den finansielle sektor, når disse enheder har en besiddelse i krydsejerskab med instituttet, og ejerskabet er blevet indgået for kunstigt at øge instituttets kapitalgrundlag (negativt beløb)</t>
  </si>
  <si>
    <t>Direkte, indirekte og syntetiske besiddelser af hybride kernekapitalinstrumenter i enheder i den finansielle sektor, når instituttet ikke har væsentlige investeringer i disse enheder (beløb over tærsklen på 10 % og fratrukket anerkendte korte positioner) (negativt beløb)</t>
  </si>
  <si>
    <t>Instituttets direkte, indirekte og syntetiske besiddelser af hybride kernekapitalinstrumenter i enheder i den finansielle sektor, når instituttet har væsentlige investeringer i disse enheder (fratrukket anerkendte korte positioner) (negativt beløb)</t>
  </si>
  <si>
    <t xml:space="preserve">42a </t>
  </si>
  <si>
    <t>Andre lovpligtige justeringer af den hybride kernekapital</t>
  </si>
  <si>
    <t>Samlede lovpligtige justeringer af hybrid kernekapital</t>
  </si>
  <si>
    <t xml:space="preserve">Hybrid kernekapital </t>
  </si>
  <si>
    <t>Kernekapital (kernekapital = egentlig kernekapital + hybrid kernekapital)</t>
  </si>
  <si>
    <t>Supplerende kapital: instrumenter</t>
  </si>
  <si>
    <t>Beløbet for kvalificerede poster omhandlet i artikel 484, stk. 5, i CRR og overkurs ved emission i tilknytning hertil underlagt udfasning fra supplerende kapital, jf. artikel 486, stk. 4, i CRR</t>
  </si>
  <si>
    <t>EU-47a</t>
  </si>
  <si>
    <t>Beløb for kvalificerede poster omhandlet i artikel 494a, stk. 2, i CRR underlagt udfasning fra supplerende kapital.</t>
  </si>
  <si>
    <t>EU-47b</t>
  </si>
  <si>
    <t>Beløb for kvalificerede poster omhandlet i artikel 494b, stk. 2, i CRR underlagt udfasning fra supplerende kapital.</t>
  </si>
  <si>
    <t xml:space="preserve">Kvalificerende kapitalgrundlagsinstrumenter indregnet i konsolideret supplerende kapital (herunder minoritetsinteresser, der ikke medtages i række 5 eller 34), som er udstedt af datterselskaber og indehaves af tredjemand. </t>
  </si>
  <si>
    <t xml:space="preserve">   heraf: instrumenter udstedt af datterselskaber og underlagt udfasning</t>
  </si>
  <si>
    <t>Kreditrisikojusteringer</t>
  </si>
  <si>
    <t>Supplerende kapital før lovpligtige justeringer</t>
  </si>
  <si>
    <t>Supplerende kapital: lovpligtige justeringer </t>
  </si>
  <si>
    <t>Et instituts direkte, indirekte og syntetiske besiddelser af egne supplerende kapitalinstrumenter og efterstillede lån (negativt beløb)</t>
  </si>
  <si>
    <t>Direkte, indirekte og syntetiske besiddelser af supplerende kapitalinstrumenter og efterstillede lån i enheder i den finansielle sektor, når disse enheder har en besiddelse i krydsejerskab med instituttet, og ejerskabet er blevet indgået for kunstigt at øge instituttets kapitalgrundlag (negativt beløb)</t>
  </si>
  <si>
    <t xml:space="preserve">Direkte, indirekte og syntetiske besiddelser af supplerende kapitalinstrumenter i enheder i den finansielle sektor, når instituttet ikke har væsentlige investeringer i disse enheder (beløb over tærsklen på 10 % og fratrukket anerkendte korte positioner) (negativt beløb)  </t>
  </si>
  <si>
    <t>54a</t>
  </si>
  <si>
    <t>Instituttets direkte, indirekte og syntetiske besiddelser af supplerende kapitalinstrumenter og efterstillede lån i enheder i den finansielle sektor, når instituttet har væsentlige investeringer i disse enheder (fratrukket anerkendte korte positioner) (negativt beløb)</t>
  </si>
  <si>
    <t>Kvalificerede fradrag i nedskrivningsrelevante passiver, som overstiger instituttets nedskrivningsrelevante passiver (negativt beløb)</t>
  </si>
  <si>
    <t>EU-56b</t>
  </si>
  <si>
    <t>Andre lovpligtige justeringer af den supplerende kapital</t>
  </si>
  <si>
    <t>Samlede lovpligtige justeringer af supplerende kapital</t>
  </si>
  <si>
    <t xml:space="preserve">Supplerende kapital </t>
  </si>
  <si>
    <t>Samlet kapital (samlet kapital = kernekapital + supplerende kapital)</t>
  </si>
  <si>
    <t>Kapitalprocenter og -krav, inkl. buffere </t>
  </si>
  <si>
    <t>Egentlig kernekapital</t>
  </si>
  <si>
    <t>Kernekapital</t>
  </si>
  <si>
    <t>Samlet kapital</t>
  </si>
  <si>
    <t>Instituttets sammenlagte kapitalkrav for egentlig kernekapital</t>
  </si>
  <si>
    <t xml:space="preserve">heraf: krav om kapitalbevaringsbuffer </t>
  </si>
  <si>
    <t xml:space="preserve">heraf: krav om kontracyklisk kapitalbuffer </t>
  </si>
  <si>
    <t xml:space="preserve">heraf: krav om systemisk risikobuffer </t>
  </si>
  <si>
    <t>EU-67a</t>
  </si>
  <si>
    <t>heraf: krav om G-SII-buffer eller O-SII-buffer</t>
  </si>
  <si>
    <t>EU-67b</t>
  </si>
  <si>
    <t>heraf: krav om yderligere kapitalgrundlag til at tage højde for andre risici end risikoen for overdreven gearing (%)</t>
  </si>
  <si>
    <t>Tilgængelig egentlig kernekapital (som en procentdel af risikoeksponeringen) efter opfyldelse af minimumskapitalkrav</t>
  </si>
  <si>
    <t>Nationale minima (hvis forskellige fra Basel III)</t>
  </si>
  <si>
    <t>Beløb under tærsklerne for fradrag (før risikovægtning) </t>
  </si>
  <si>
    <t xml:space="preserve">Instituttets direkte og indirekte besiddelser af egentlige kernekapitalinstrumenter i enheder i den finansielle sektor, når instituttet har væsentlige investeringer i disse enheder (beløb under tærsklen på 17,65 % og fratrukket anerkendte korte positioner) </t>
  </si>
  <si>
    <t>Gældende lofter over indregning af hensættelser i supplerende kapital </t>
  </si>
  <si>
    <t>Kreditrisikojusteringer indregnet i den supplerende kapital i forbindelse med eksponeringer opgjort efter standardmetoden (før anvendelse af loftet)</t>
  </si>
  <si>
    <t>Loft for indregning af kreditrisikojusteringer i den supplerende kapital opgjort efter standardmetoden</t>
  </si>
  <si>
    <t>Kreditrisikojusteringer indregnet i den supplerende kapital i forbindelse med eksponeringer opgjort efter IRB-metoden (før anvendelse af loftet)</t>
  </si>
  <si>
    <t>Loft for indregning af kreditrisikojusteringer i den supplerende kapital opgjort efter IRB-metoden</t>
  </si>
  <si>
    <t>Kapitalinstrumenter underlagt udfasning (kun i perioden fra den 1. januar 2014 til den 1. januar 2022)</t>
  </si>
  <si>
    <t>Nuværende loft over egentlige kernekapitalinstrumenter underlagt udfasning</t>
  </si>
  <si>
    <t>Beløb ikke indregnet i den egentlige kernekapital som følge af loft (overskridelse af loft efter indfrielse og forfald)</t>
  </si>
  <si>
    <t>Nuværende loft for hybride kernekapitalinstrumenter underlagt udfasning</t>
  </si>
  <si>
    <t>Beløb ikke indregnet i den hybride kernekapital som følge af loft (overskridelse af loft efter indfrielse og forfald)</t>
  </si>
  <si>
    <t>Nuværende loft for supplerende kapitalinstrumenter underlagt udfasning</t>
  </si>
  <si>
    <t>Beløb ikke indregnet i den supplerende kapital som følge af loft (overskridelse af loft efter indfrielse og forfald)</t>
  </si>
  <si>
    <t>Skema CC2 – Afstemning mellem lovbestemt kapitalgrundlag og balancen i de reviderede regnskaber</t>
  </si>
  <si>
    <t>Reference</t>
  </si>
  <si>
    <t>Ved periodens udgang</t>
  </si>
  <si>
    <t>Aktiver i alt</t>
  </si>
  <si>
    <t>Passiver i alt</t>
  </si>
  <si>
    <t>Aktiekapital</t>
  </si>
  <si>
    <t>Aktiekapital i alt</t>
  </si>
  <si>
    <t>Skema EU-CCyB1 — Geografisk fordeling af krediteksponeringer, der er relevante for beregningen af den kontracykliske kapitalbuffer</t>
  </si>
  <si>
    <t>i</t>
  </si>
  <si>
    <t>j</t>
  </si>
  <si>
    <t>k</t>
  </si>
  <si>
    <t>l</t>
  </si>
  <si>
    <t>m</t>
  </si>
  <si>
    <t>Generelle krediteksponeringer</t>
  </si>
  <si>
    <t>Relevante krediteksponeringer — Markedsrisiko</t>
  </si>
  <si>
    <t>Securitiseringseksponeringer — Værdi af eksponeringer uden for handelsbeholdningen</t>
  </si>
  <si>
    <t>Eksponeringsværdi i alt</t>
  </si>
  <si>
    <t>Kapitalgrundlagskrav</t>
  </si>
  <si>
    <t xml:space="preserve">Risikovægtede eksponeringer </t>
  </si>
  <si>
    <t>Vægte for kapitalgrundlagskrav
(%)</t>
  </si>
  <si>
    <t>Kontracyklisk buffersats
(%)</t>
  </si>
  <si>
    <t>Eksponeringsværdi opgjort efter standardmetoden</t>
  </si>
  <si>
    <t>Eksponeringsværdi opgjort efter IRB-metoden</t>
  </si>
  <si>
    <t>Sum af lange og korte positioner af eksponeringer i handelsbeholdningen for standardmetoden</t>
  </si>
  <si>
    <t>Værdi af eksponeringer i handelsbeholdningen for interne modeller</t>
  </si>
  <si>
    <t>Relevante krediteksponeringer — Kreditrisiko</t>
  </si>
  <si>
    <t xml:space="preserve">Relevante krediteksponeringer — Securitiseringspositioner uden for handelsbeholdningen </t>
  </si>
  <si>
    <t xml:space="preserve"> I alt</t>
  </si>
  <si>
    <t>010</t>
  </si>
  <si>
    <t>Opdeling efter land:</t>
  </si>
  <si>
    <t>Land: 001</t>
  </si>
  <si>
    <t>Land: 002</t>
  </si>
  <si>
    <t>…</t>
  </si>
  <si>
    <t>Land: NNN</t>
  </si>
  <si>
    <t>020</t>
  </si>
  <si>
    <t>Ikke sikker på at vi skal offentliggøre dette, når vi kun har DK. Skemaerne er også tomme</t>
  </si>
  <si>
    <t>Skema EU-CCyB2 — Størrelsen af den institutspecifikke kontracykliske kapitalbuffer</t>
  </si>
  <si>
    <t>Institutspecifik kontracyklisk kapitalbuffersats</t>
  </si>
  <si>
    <t>Krav til den institutspecifikke kontracykliske kapitalbuffer</t>
  </si>
  <si>
    <t>n</t>
  </si>
  <si>
    <t>Skema EU LR1 - LRSum: Afstemning mellem regnskabsmæssige aktiver og gearingsgradrelevante eksponeringer — oversigt</t>
  </si>
  <si>
    <t>Relevant beløb</t>
  </si>
  <si>
    <t>Samlede aktiver, jf. de offentliggjorte regnskaber</t>
  </si>
  <si>
    <t>Justering for enheder, der er konsolideret med henblik på regnskabsførelse, men som ikke er omfattet af den tilsynsmæssige konsolidering</t>
  </si>
  <si>
    <t>(Justeringer for securitiserede eksponeringer, der opfylder de operationelle krav for anerkendelse af væsentlig risikooverførsel)</t>
  </si>
  <si>
    <r>
      <rPr>
        <sz val="11"/>
        <color theme="1"/>
        <rFont val="Calibri"/>
        <family val="2"/>
        <scheme val="minor"/>
      </rPr>
      <t>(Justering for midlertidig fritagelse af eksponeringer mod centralbanker (hvis det er relevant))</t>
    </r>
  </si>
  <si>
    <t>(Justering for aktiver under forvaltning (fiduciary assets), som indregnes på instituttets balance ifølge de gældende regnskabsregler, men ikke medtages i det samlede eksponeringsmål. jf. artikel 429a, stk. 1, litra i), i CRR)</t>
  </si>
  <si>
    <t>Justering for almindelige køb og salg af finansielle aktiver, der bogføres efter handelsdatoen</t>
  </si>
  <si>
    <t>Justering for kvalificerede cash pool-transaktioner</t>
  </si>
  <si>
    <r>
      <rPr>
        <sz val="11"/>
        <color rgb="FF000000"/>
        <rFont val="Calibri"/>
        <family val="2"/>
        <scheme val="minor"/>
      </rPr>
      <t>Justering for afledte finansielle instrumenter</t>
    </r>
  </si>
  <si>
    <t>Justering for værdipapirfinansieringstransaktioner (SFT'er)</t>
  </si>
  <si>
    <t>Justering for ikkebalanceførte poster (dvs. konvertering til ikkebalanceførte eksponeringer i form af kreditækvivalente beløb)</t>
  </si>
  <si>
    <t>(Justering for justeringer som følge af forsigtig værdiansættelse og specifikke og generelle hensættelser, der har reduceret kernekapitalen)</t>
  </si>
  <si>
    <t>EU-11a</t>
  </si>
  <si>
    <t>(Justering for eksponeringer udelukket fra det samlede eksponeringsmål, jf. artikel 429a, stk. 1, litra c), i CRR)</t>
  </si>
  <si>
    <t>EU-11b</t>
  </si>
  <si>
    <t>(Justering for eksponeringer udelukket fra det samlede eksponeringsmål, jf. artikel 429a, stk. 1, litra j), i CRR)</t>
  </si>
  <si>
    <t>Andre justeringer</t>
  </si>
  <si>
    <r>
      <rPr>
        <b/>
        <sz val="11"/>
        <color theme="1"/>
        <rFont val="Calibri"/>
        <family val="2"/>
        <scheme val="minor"/>
      </rPr>
      <t>Samlet eksponeringsmål</t>
    </r>
  </si>
  <si>
    <t>Skema EU LR2 - LRCom Oplysninger om gearingsgrad — fælles regler</t>
  </si>
  <si>
    <t>Gearingsgradrelevante eksponeringer, jf. CRR</t>
  </si>
  <si>
    <t>Balanceførte eksponeringer (ekskl. derivater og SFT'er)</t>
  </si>
  <si>
    <t>Balanceførte poster (ekskl. derivater og SFT'er, men inkl. sikkerhedsstillelse)</t>
  </si>
  <si>
    <t>Gross-up for sikkerhedsstillelse i forbindelse med derivatkontrakter, hvis fratrukket i de balanceførte aktiver i henhold til de gældende regnskabsregler</t>
  </si>
  <si>
    <t>(Fradrag af aktiver i form af fordringer for likvid variationsmargen stillet i forbindelse med derivattransaktioner)</t>
  </si>
  <si>
    <t>(Justering for værdipapirer modtaget i værdipapirfinansieringstransaktioner, og som indregnes som aktiver)</t>
  </si>
  <si>
    <t>(Generelle kreditrisikojusteringer i forbindelse med balanceførte poster)</t>
  </si>
  <si>
    <t>(Værdien af aktiver fratrukket ved opgørelsen af kernekapital)</t>
  </si>
  <si>
    <t xml:space="preserve">Samlede balanceførte eksponeringer (ekskl. derivater og SFT'er) </t>
  </si>
  <si>
    <t>Derivateksponeringer</t>
  </si>
  <si>
    <t>Genanskaffelsesomkostninger i forbindelse med derivattransaktioner opgjort efter standardmetoden for modpartskreditrisiko (dvs. fratrukket godkendt likvid variationsmargen)</t>
  </si>
  <si>
    <t>EU-8a</t>
  </si>
  <si>
    <t>Undtagelse for derivater: genanskaffelsesomkostningsandel i henhold til den forenklede standardmetode</t>
  </si>
  <si>
    <t xml:space="preserve">Tillægsbeløb for potentiel fremtidig eksponering knyttet til derivattransaktioner opgjort efter standardmetoden for modpartskreditrisiko </t>
  </si>
  <si>
    <t>EU-9a</t>
  </si>
  <si>
    <t>Undtagelse for derivater: andel af potentiel fremtidig eksponering i henhold til den forenklede standardmetode</t>
  </si>
  <si>
    <t>EU-9b</t>
  </si>
  <si>
    <t>Eksponering bestemt efter den oprindelige eksponeringsmetode</t>
  </si>
  <si>
    <t>(Ikke medregnet CCP-element af kundeclearede handelseksponeringer) (standardmetode for modpartskreditrisiko)</t>
  </si>
  <si>
    <t>EU-10a</t>
  </si>
  <si>
    <r>
      <rPr>
        <sz val="11"/>
        <color theme="1"/>
        <rFont val="Calibri"/>
        <family val="2"/>
        <scheme val="minor"/>
      </rPr>
      <t>(Ikke medregnet CCP-element af kundeclearede handelseksponeringer) (forenklet standardmetode)</t>
    </r>
  </si>
  <si>
    <t>EU-10b</t>
  </si>
  <si>
    <r>
      <rPr>
        <sz val="11"/>
        <color theme="1"/>
        <rFont val="Calibri"/>
        <family val="2"/>
        <scheme val="minor"/>
      </rPr>
      <t>(-) Ikke medregnet CCP-element af kundeclearede handelseksponeringer (oprindelig eksponeringsmetode)</t>
    </r>
  </si>
  <si>
    <t>Justeret faktisk nominel værdi af solgte kreditderivater</t>
  </si>
  <si>
    <t>(Justerede faktiske nominelle værdijusteringer og fradrag af tillæg for solgte kreditderivater)</t>
  </si>
  <si>
    <t xml:space="preserve">Derivateksponeringer i alt </t>
  </si>
  <si>
    <t>Eksponeringer i forbindelse med værdipapirfinansieringstransaktioner (SFT)</t>
  </si>
  <si>
    <t>Bruttoaktiver, der er indgået i SFT'er (uden netting), efter justering for regnskabsmæssige transaktioner vedrørende salg</t>
  </si>
  <si>
    <t>(Kontantgæld og kontantfordringer (nettede beløb) hidrørende fra bruttoaktiver, der er indgået i SFT'er)</t>
  </si>
  <si>
    <t>Eksponering mod modpartskreditrisiko for SFT-aktiver</t>
  </si>
  <si>
    <t>EU-16a</t>
  </si>
  <si>
    <t>Undtagelse for SFT'er: Modpartskreditrisikoeksponering, jf. artikel 429e, stk. 5, og artikel 222 i CRR</t>
  </si>
  <si>
    <t>Eksponeringer i forbindelse med agenttransaktioner</t>
  </si>
  <si>
    <t>EU-17a</t>
  </si>
  <si>
    <t>(Ikke medregnet CCP-element af kundeclearet SFT-eksponering)</t>
  </si>
  <si>
    <t>Eksponeringer i forbindelse med værdipapirfinansieringstransaktioner i alt</t>
  </si>
  <si>
    <t xml:space="preserve">Andre ikkebalanceførte eksponeringer </t>
  </si>
  <si>
    <t>Ikkebalanceførte eksponeringer til den notionelle bruttoværdi</t>
  </si>
  <si>
    <t>(Justeringer for konvertering til kreditækvivalente beløb)</t>
  </si>
  <si>
    <r>
      <rPr>
        <sz val="11"/>
        <color theme="1"/>
        <rFont val="Calibri"/>
        <family val="2"/>
        <scheme val="minor"/>
      </rPr>
      <t>(Generelle hensættelser fratrukket ved opgørelsen af kernekapital og specifikke hensættelser i forbindelse med ikkebalanceførte eksponeringer)</t>
    </r>
  </si>
  <si>
    <t>Ikkebalanceførte eksponeringer</t>
  </si>
  <si>
    <t>Udelukkede eksponeringer</t>
  </si>
  <si>
    <t>EU-22a</t>
  </si>
  <si>
    <t>(Eksponeringer, som udelukkes fra det samlede eksponeringsmål i overensstemmelse med artikel 429a, stk. 1, litra c), i CRR)</t>
  </si>
  <si>
    <t>EU-22b</t>
  </si>
  <si>
    <t>Eksponeringer, som udelukkes i overensstemmelse med artikel 429a, stk. 1, litra j), i CRR (balanceførte og ikkebalanceførte)</t>
  </si>
  <si>
    <t>EU-22c</t>
  </si>
  <si>
    <t>Offentlige udviklingsbankers (eller enheders) udelukkede eksponeringer — Offentlige investeringer</t>
  </si>
  <si>
    <t>EU-22d</t>
  </si>
  <si>
    <t>Offentlige udviklingsbankers (eller enheders) udelukkede eksponeringer — Støttelån</t>
  </si>
  <si>
    <t>EU-22e</t>
  </si>
  <si>
    <r>
      <rPr>
        <sz val="11"/>
        <color theme="1"/>
        <rFont val="Calibri"/>
        <family val="2"/>
        <scheme val="minor"/>
      </rPr>
      <t>(Udelukkede eksponeringer fra pass through-støttelån gennem ikkeoffentlige udviklingskreditinstitutter (eller (enheder))</t>
    </r>
  </si>
  <si>
    <t>EU-22f</t>
  </si>
  <si>
    <t xml:space="preserve">(Udelukkede garanterede dele af eksponeringer, der følger af eksportkreditter) </t>
  </si>
  <si>
    <t>EU-22g</t>
  </si>
  <si>
    <t>(Udelukket overskydende sikkerhedsstillelse deponeret hos trepartsagenter)</t>
  </si>
  <si>
    <t>EU-22h</t>
  </si>
  <si>
    <t>(Udelukkede bankmæssige accessoriske tjenesteydelser fra værdipapircentraler/institutter i henhold til artikel 429a, stk. 1, litra o), i CRR</t>
  </si>
  <si>
    <t>EU-22i</t>
  </si>
  <si>
    <t>(Udelukkede bankmæssige accessoriske tjenesteydelser fra udpegede institutter i henhold til artikel 429a, stk. 1, litra p), i CRR</t>
  </si>
  <si>
    <t>EU-22j</t>
  </si>
  <si>
    <t>(Reduktion af eksponeringsværdien af forfinansieringslån eller overgangslån)</t>
  </si>
  <si>
    <t>EU-22k</t>
  </si>
  <si>
    <t>(Udelukkede eksponeringer i alt)</t>
  </si>
  <si>
    <t>Kapitalmål og samlet eksponeringsmål</t>
  </si>
  <si>
    <r>
      <rPr>
        <sz val="11"/>
        <color theme="1"/>
        <rFont val="Calibri"/>
        <family val="2"/>
        <scheme val="minor"/>
      </rPr>
      <t>Gearingsgrad (%)</t>
    </r>
  </si>
  <si>
    <t>EU-25</t>
  </si>
  <si>
    <t>Gearingsgrad (ekskl. virkningen af undtagelsen af offentlige investeringer og støttelån) (%)</t>
  </si>
  <si>
    <t>25a</t>
  </si>
  <si>
    <r>
      <rPr>
        <sz val="11"/>
        <color theme="1"/>
        <rFont val="Calibri"/>
        <family val="2"/>
        <scheme val="minor"/>
      </rPr>
      <t>Gearingsgrad (ekskl. virkningen af midlertidige undtagelser af centralbankreserver) (%)</t>
    </r>
  </si>
  <si>
    <t>Lovpligtig minimumsgearingsgradkrav (%)</t>
  </si>
  <si>
    <t>EU-26a</t>
  </si>
  <si>
    <t>EU-26b</t>
  </si>
  <si>
    <t xml:space="preserve">     heraf: i form af egentlig kernekapital</t>
  </si>
  <si>
    <t>EU-27a</t>
  </si>
  <si>
    <t>Valg af overgangsordninger og relevante eksponeringer</t>
  </si>
  <si>
    <r>
      <rPr>
        <sz val="11"/>
        <color theme="1"/>
        <rFont val="Calibri"/>
        <family val="2"/>
        <scheme val="minor"/>
      </rPr>
      <t>EU-27b</t>
    </r>
  </si>
  <si>
    <t>Valg af overgangsordninger for definitionen af kapitalmålet</t>
  </si>
  <si>
    <t>Offentliggørelse af gennemsnitsværdier</t>
  </si>
  <si>
    <r>
      <rPr>
        <sz val="11"/>
        <color theme="1"/>
        <rFont val="Calibri"/>
        <family val="2"/>
        <scheme val="minor"/>
      </rPr>
      <t>Gennemsnit af daglige værdier af bruttoaktiver, der er indgået i SFT'er, efter justering for regnskabsmæssige transaktioner vedrørende salg og modregning af relaterede likvide forpligtelser og likvide tilgodehavender</t>
    </r>
  </si>
  <si>
    <t>Kvartalsultimoværdi af bruttoaktiver, der er indgået i SFT'er, efter justering for regnskabsmæssige transaktioner vedrørende salg og modregning af relaterede likvide forpligtelser og likvide tilgodehavender</t>
  </si>
  <si>
    <r>
      <rPr>
        <sz val="11"/>
        <color theme="1"/>
        <rFont val="Calibri"/>
        <family val="2"/>
        <scheme val="minor"/>
      </rPr>
      <t>Samlet eksponeringsmål (inkl.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r>
  </si>
  <si>
    <t>30a</t>
  </si>
  <si>
    <r>
      <rPr>
        <sz val="11"/>
        <color theme="1"/>
        <rFont val="Calibri"/>
        <family val="2"/>
        <scheme val="minor"/>
      </rPr>
      <t>Samlet eksponeringsmål (ekskl.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r>
  </si>
  <si>
    <t>Gearingsgrad (inkl.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</si>
  <si>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31a</t>
  </si>
  <si>
    <t>Gearingsgrad (ekskl.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</si>
  <si>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Skema EU LR3 - LRSpl: Opdeling af balanceførte eksponeringer (ekskl. derivater, SFT'er og ikke medregnede eksponeringer)</t>
  </si>
  <si>
    <t>EU-1</t>
  </si>
  <si>
    <t>Samlede balanceførte eksponeringer (ekskl. derivater, SFT'er og ikke medregnede eksponeringer), heraf:</t>
  </si>
  <si>
    <t>EU-2</t>
  </si>
  <si>
    <t>Eksponeringer i handelsbeholdningen</t>
  </si>
  <si>
    <t>EU-3</t>
  </si>
  <si>
    <t>Eksponeringer uden for handelsbeholdningen, heraf:</t>
  </si>
  <si>
    <t>EU-4</t>
  </si>
  <si>
    <t>Særligt dækkede obligationer og særligt dækkede realkreditobligationer</t>
  </si>
  <si>
    <t>EU-5</t>
  </si>
  <si>
    <t>Eksponeringer, der behandles som eksponeringer mod stater</t>
  </si>
  <si>
    <t>EU-6</t>
  </si>
  <si>
    <t>Eksponeringer mod regionale myndigheder, multilaterale udviklingsbanker, internationale organisationer og offentlige enheder, der ikke behandles som stater</t>
  </si>
  <si>
    <t>EU-7</t>
  </si>
  <si>
    <t>Institutter</t>
  </si>
  <si>
    <t>EU-8</t>
  </si>
  <si>
    <t>Sikret ved pant i fast ejendom</t>
  </si>
  <si>
    <t>EU-9</t>
  </si>
  <si>
    <t>Detaileksponeringer</t>
  </si>
  <si>
    <t>EU-10</t>
  </si>
  <si>
    <t>Selskaber</t>
  </si>
  <si>
    <t>EU-11</t>
  </si>
  <si>
    <t>Misligholdte eksponeringer</t>
  </si>
  <si>
    <t>EU-12</t>
  </si>
  <si>
    <t>Andre eksponeringer (f.eks. aktieeksponeringer, securitiseringer og andre aktiver, der ikke er gældsforpligtelser)</t>
  </si>
  <si>
    <t>Skema EU LIQ1 - Kvantitative oplysninger om likviditetsdækningsgrad</t>
  </si>
  <si>
    <t>Uvægtet værdi i alt (gennemsnit)</t>
  </si>
  <si>
    <t>Vægtet værdi i alt (gennemsnit)</t>
  </si>
  <si>
    <t>EU 1a</t>
  </si>
  <si>
    <t>Kvartalsafslutning den (DD måned ÅÅÅÅ)</t>
  </si>
  <si>
    <t>EU 1b</t>
  </si>
  <si>
    <t>Antal datapunkter, der anvendes i beregningen af gennemsnit</t>
  </si>
  <si>
    <t>LIKVIDE AKTIVER AF HØJ KVALITET</t>
  </si>
  <si>
    <t>Likvide aktiver af høj kvalitet (HQLA) i alt</t>
  </si>
  <si>
    <t>UDGÅENDE PENGESTRØMME</t>
  </si>
  <si>
    <t>Detailindskud og indskud fra små erhvervskunder, heraf:</t>
  </si>
  <si>
    <t>Stabile indskud</t>
  </si>
  <si>
    <t>Mindre stabile indskud</t>
  </si>
  <si>
    <t>Usikret engrosfinansiering</t>
  </si>
  <si>
    <t>Transaktionsrelaterede indskud (alle modparter) og indskud i netværk af kooperative banker</t>
  </si>
  <si>
    <t>Ikketransaktionsrelaterede indskud (alle modparter)</t>
  </si>
  <si>
    <t>Usikret gæld</t>
  </si>
  <si>
    <t>Sikret engrosfinansiering</t>
  </si>
  <si>
    <t>Yderligere krav</t>
  </si>
  <si>
    <t>Udgående pengestrømme vedrørende derivateksponeringer og andre krav til sikkerhedsstillelse</t>
  </si>
  <si>
    <t>Udgående pengestrømme vedrørende tabt finansiering fra gældsprodukter</t>
  </si>
  <si>
    <t>Kredit- og likviditetsfaciliteter</t>
  </si>
  <si>
    <t>Andre kontraktmæssige finansieringsforpligtelser</t>
  </si>
  <si>
    <t>Øvrige forpligtelser vedrørende eventualfinansiering</t>
  </si>
  <si>
    <t>UDGÅENDE PENGESTRØMME I ALT</t>
  </si>
  <si>
    <t>Sikrede udlån (f.eks. reverse repos)</t>
  </si>
  <si>
    <t>Indgående pengestrømme fra eksponeringer, der ikke er misligholdt</t>
  </si>
  <si>
    <t>Andre indgående pengestrømme</t>
  </si>
  <si>
    <t>EU-19a</t>
  </si>
  <si>
    <t>(Forskel mellem vægtede indgående pengestrømme i alt og vægtede udgående pengestrømme i alt, som opstår som følge af transaktioner i tredjelande, hvor der er overførselsrestriktioner, eller som er denomineret i ikkekonvertible valutaer)</t>
  </si>
  <si>
    <t>EU-19b</t>
  </si>
  <si>
    <t>(Overskydende indgående pengestrømme fra et tilknyttet specialiseret kreditinstitut)</t>
  </si>
  <si>
    <t>INDGÅENDE PENGESTRØMME I ALT</t>
  </si>
  <si>
    <t>Helt undtagne indgående pengestrømme</t>
  </si>
  <si>
    <t>Indgående pengestrømme underlagt loft på 90 %</t>
  </si>
  <si>
    <t>Indgående pengestrømme underlagt loft på 75 %</t>
  </si>
  <si>
    <t xml:space="preserve">JUSTERET VÆRDI I ALT </t>
  </si>
  <si>
    <t>EU-21</t>
  </si>
  <si>
    <t>LIKVIDITETSBUFFER</t>
  </si>
  <si>
    <t>UDGÅENDE NETTOPENGESTRØMME I ALT</t>
  </si>
  <si>
    <t>LIKVIDITETSDÆKNINGSGRAD</t>
  </si>
  <si>
    <t xml:space="preserve">Skema EU LIQ2: Net stable funding ratio </t>
  </si>
  <si>
    <t>I overensstemmelse med artikel 451a, stk. 3, i CRR</t>
  </si>
  <si>
    <t>Uvægtet værdi efter restløbetid</t>
  </si>
  <si>
    <t>Vægtet værdi</t>
  </si>
  <si>
    <t>Ingen løbetid</t>
  </si>
  <si>
    <t>&lt; 6 måneder</t>
  </si>
  <si>
    <t>6 måneder til &lt; 1 år</t>
  </si>
  <si>
    <t>≥ 1 år</t>
  </si>
  <si>
    <t>Poster vedrørende tilgængelig stabil finansiering (ASF)</t>
  </si>
  <si>
    <t>Kapitalposter og -instrumenter</t>
  </si>
  <si>
    <t>Kapitalgrundlag</t>
  </si>
  <si>
    <t>Andre kapitalinstrumenter</t>
  </si>
  <si>
    <t>Detailindskud</t>
  </si>
  <si>
    <t>Engrosfinansiering:</t>
  </si>
  <si>
    <t>Transaktionsrelaterede indskud</t>
  </si>
  <si>
    <t>Anden engrosfinansiering</t>
  </si>
  <si>
    <t>Indbyrdes afhængige passiver</t>
  </si>
  <si>
    <t xml:space="preserve">Andre passiver: </t>
  </si>
  <si>
    <t xml:space="preserve">NSFR-derivatforpligtelser </t>
  </si>
  <si>
    <t>Alle øvrige passiver og kapitalinstrumenter, der ikke indgår i ovenstående kategorier</t>
  </si>
  <si>
    <t>Tilgængelig stabil finansiering (ASF) i alt</t>
  </si>
  <si>
    <t>Poster vedrørende krævet stabil finansiering (RSF)</t>
  </si>
  <si>
    <t>EU-15a</t>
  </si>
  <si>
    <t>Aktiver, der er behæftede for en restløbetid på et år eller mere i en sikkerhedspulje</t>
  </si>
  <si>
    <t>Indskud i andre finansielle institutter til transaktionsrelaterede formål</t>
  </si>
  <si>
    <t>Ikkemisligholdte lån og værdipapirer:</t>
  </si>
  <si>
    <t>Værdipapirfinansieringstransaktioner, der ikke er misligholdt, med finansielle kunder, og som er sikret ved likvide aktiver af høj kvalitet på niveau 1, der er underlagt et haircut på 0 %</t>
  </si>
  <si>
    <r>
      <rPr>
        <i/>
        <sz val="11"/>
        <color theme="1"/>
        <rFont val="Calibri"/>
        <family val="2"/>
        <scheme val="minor"/>
      </rPr>
      <t>Værdipapirfinansieringstransaktioner med finansielle kunder, der ikke er misligholdt, og som er sikret ved andre aktiver og lån og forskud til finansieringsinstitutter</t>
    </r>
  </si>
  <si>
    <r>
      <rPr>
        <i/>
        <sz val="11"/>
        <color theme="1"/>
        <rFont val="Calibri"/>
        <family val="2"/>
        <scheme val="minor"/>
      </rPr>
      <t>Lån, der ikke er misligholdt, til ikkefinansielle erhvervskunder, til detailkunder og små erhvervskunder og til stater og offentlige enheder, heraf:</t>
    </r>
  </si>
  <si>
    <t>Med en risikovægt på mindre end eller lig med 35 % i henhold til Basel II-standardmetoden for kreditrisiko</t>
  </si>
  <si>
    <t xml:space="preserve">Ikkemisligholdte realkreditlån i beboelsesejendomme, heraf: </t>
  </si>
  <si>
    <t>Andre lån og værdipapirer, der ikke er misligholdt, og som ikke kan betragtes som likvide aktiver af høj kvalitet, herunder børsnoterede aktier og balanceførte handelsfinansieringsprodukter</t>
  </si>
  <si>
    <t>Indbyrdes afhængige aktiver</t>
  </si>
  <si>
    <t xml:space="preserve">Andre aktiver: </t>
  </si>
  <si>
    <t>Fysisk handlede råvarer</t>
  </si>
  <si>
    <t>Aktiver stillet som initialmargen for derivatkontrakter og bidrag til CCP'ers misligholdelsesfonde</t>
  </si>
  <si>
    <r>
      <rPr>
        <i/>
        <sz val="11"/>
        <color theme="1"/>
        <rFont val="Calibri"/>
        <family val="2"/>
        <scheme val="minor"/>
      </rPr>
      <t>NSFR-derivataktiver</t>
    </r>
    <r>
      <rPr>
        <sz val="11"/>
        <color theme="1"/>
        <rFont val="Calibri"/>
        <family val="2"/>
        <scheme val="minor"/>
      </rPr>
      <t> </t>
    </r>
  </si>
  <si>
    <t xml:space="preserve">NSFR-derivatforpligtelser før fradrag af stillet variationsmargen </t>
  </si>
  <si>
    <t>Alle øvrige aktiver, der ikke indgår i ovenstående kategorier</t>
  </si>
  <si>
    <t>Ikkebalanceførte poster</t>
  </si>
  <si>
    <t>Net stable funding ratio (%)</t>
  </si>
  <si>
    <t xml:space="preserve">Skema EU CR1: Ikkemisligholdte og misligholdte eksponeringer og dertil knyttede bestemmelser. </t>
  </si>
  <si>
    <t>o</t>
  </si>
  <si>
    <t>Regnskabsmæssig bruttoværdi/nominel værdi</t>
  </si>
  <si>
    <t>Akkumulerede værdiforringelser, akkumulerede negative ændringer i dagsværdi på grund af kreditrisiko og hensættelser</t>
  </si>
  <si>
    <t>Akkumulerede delvise afskrivninger</t>
  </si>
  <si>
    <t>Sikkerhedsstillelser og modtagne finansielle garantier</t>
  </si>
  <si>
    <t>Ikkemisligholdte eksponeringer</t>
  </si>
  <si>
    <t>Ikkemisligholdte eksponeringer – akkumulerede værdiforringelser og hensættelser</t>
  </si>
  <si>
    <t xml:space="preserve">Misligholdte eksponeringer – akkumulerede værdiforringelser, akkumulerede negative ændringer i dagsværdi på grund af kreditrisiko og hensættelser </t>
  </si>
  <si>
    <t>Heraf fase 1</t>
  </si>
  <si>
    <t>Heraf fase 2</t>
  </si>
  <si>
    <t>Heraf fase 3</t>
  </si>
  <si>
    <t>005</t>
  </si>
  <si>
    <t>Kassebeholdninger i centralbanker og andre anfordringsindskud</t>
  </si>
  <si>
    <t>Lån og forskud</t>
  </si>
  <si>
    <t>Centralbanker</t>
  </si>
  <si>
    <t>030</t>
  </si>
  <si>
    <t>Centralregeringer</t>
  </si>
  <si>
    <t>040</t>
  </si>
  <si>
    <t>Kreditinstitutter</t>
  </si>
  <si>
    <t>050</t>
  </si>
  <si>
    <t>Andre finansielle selskaber</t>
  </si>
  <si>
    <t>060</t>
  </si>
  <si>
    <t>Ikkefinansielle selskaber</t>
  </si>
  <si>
    <t>070</t>
  </si>
  <si>
    <t xml:space="preserve">          Heraf SMV'er</t>
  </si>
  <si>
    <t>080</t>
  </si>
  <si>
    <t>Husstande</t>
  </si>
  <si>
    <t>090</t>
  </si>
  <si>
    <t>Gældsværdipapirer</t>
  </si>
  <si>
    <t>100</t>
  </si>
  <si>
    <t>110</t>
  </si>
  <si>
    <t>120</t>
  </si>
  <si>
    <t>130</t>
  </si>
  <si>
    <t>140</t>
  </si>
  <si>
    <t>150</t>
  </si>
  <si>
    <t>160</t>
  </si>
  <si>
    <t>170</t>
  </si>
  <si>
    <t>180</t>
  </si>
  <si>
    <t>190</t>
  </si>
  <si>
    <t>200</t>
  </si>
  <si>
    <t>210</t>
  </si>
  <si>
    <t>220</t>
  </si>
  <si>
    <t>Skema EU CR1-A: Løbetid på eksponeringer</t>
  </si>
  <si>
    <t>Nettoeksponeringsværdi</t>
  </si>
  <si>
    <t>På anfordring</t>
  </si>
  <si>
    <t>&lt;= 1 år</t>
  </si>
  <si>
    <t>&gt; 1 år &lt;= 5 år</t>
  </si>
  <si>
    <t>&gt; 5 år</t>
  </si>
  <si>
    <t>Ingen fastsat løbetid</t>
  </si>
  <si>
    <t>Skema EU CR2: Ændringer i beholdningen af misligholdte lån og forskud</t>
  </si>
  <si>
    <t xml:space="preserve">Regnskabsmæssig bruttoværdi               </t>
  </si>
  <si>
    <t>Oprindelig beholdning af misligholdte lån og forskud</t>
  </si>
  <si>
    <t>Indgående pengestrømme til misligholdte porteføljer</t>
  </si>
  <si>
    <t>Udgående pengestrømme fra misligholdte porteføljer</t>
  </si>
  <si>
    <t>Udgående pengestrømme som følge af afskrivninger</t>
  </si>
  <si>
    <t>Udgående pengestrøm, andre situationer</t>
  </si>
  <si>
    <t>Slutbeholdning af misligholdte lån og forskud</t>
  </si>
  <si>
    <t>Skema EU CR2a: Ændringer i beholdningen af misligholdte lån og forskud og akkumulerede inddrevne nettobeløb i forbindelse hermed</t>
  </si>
  <si>
    <t>Akkumulerede inddrevne nettobeløb i forbindelse hermed</t>
  </si>
  <si>
    <t>Udgående pengestrøm til ikkemisligholdt portefølje</t>
  </si>
  <si>
    <t>Udgående pengestrøm som følge af delvis eller hel tilbagebetaling af lån</t>
  </si>
  <si>
    <t>Udgående pengestrøm som følge af likvidation af sikkerhedsstillelse</t>
  </si>
  <si>
    <t>Udgående pengestrøm som følge af overtagelse af sikkerhedsstillelse</t>
  </si>
  <si>
    <t>Udgående pengestrøm som følge af salg af instrumenter</t>
  </si>
  <si>
    <t>Udgående pengestrøm som følge af risikooverførsler</t>
  </si>
  <si>
    <t>Udgående pengestrøm som følge af omklassificering til besiddelse med henblik på salg</t>
  </si>
  <si>
    <t>Skema EU CQ1: Kreditkvalitet af eksponeringer med kreditlempelser</t>
  </si>
  <si>
    <t>Regnskabsmæssig bruttoværdi/nominel værdi af eksponeringer med kreditlempelser</t>
  </si>
  <si>
    <t>Sikkerhedsstillelser og finansielle garantier modtaget for eksponeringer med kreditlempelser</t>
  </si>
  <si>
    <t>På ikkemisligholdte eksponeringer med kreditlempelser</t>
  </si>
  <si>
    <t>På misligholdte eksponeringer med kreditlempelser</t>
  </si>
  <si>
    <t>Heraf sikkerhedsstillelser og finansielle garantier modtaget for misligholdte eksponeringer med kreditlempelser</t>
  </si>
  <si>
    <t>Afgivne lånetilsagn</t>
  </si>
  <si>
    <t>Skema EU CQ2: Kvalitet af kreditlempelser</t>
  </si>
  <si>
    <t>Regnskabsmæssig bruttoværdi af eksponeringer med kreditlempelser</t>
  </si>
  <si>
    <t>Lån og forskud med kreditlempelser "mere end to gange"</t>
  </si>
  <si>
    <t>Misligholdte lån og forskud med kreditlempelser, som ikke opfyldte kriterierne for ikke længere at blive kategoriseret som misligholdt</t>
  </si>
  <si>
    <t>Skema EU CQ3: Kreditkvalitet af ikkemisligholdte og misligholdte eksponeringer efter forfaldsdage</t>
  </si>
  <si>
    <t>Forfaldne &gt; 30 dage ≤ 90 dage</t>
  </si>
  <si>
    <t>Betales sandsynligvis ikke, men er ikke forfaldne eller har været forfaldne i ≤ 90 dage</t>
  </si>
  <si>
    <t xml:space="preserve">Forfaldne
&gt; 90 dage
≤ 180 dage
</t>
  </si>
  <si>
    <t xml:space="preserve">Forfaldne
&gt; 180 dage
≤ 1 år
</t>
  </si>
  <si>
    <t xml:space="preserve">Forfaldne
&gt; 1 år ≤ 2 år
</t>
  </si>
  <si>
    <t xml:space="preserve">Forfaldne
&gt; 2 år ≤ 5 år
</t>
  </si>
  <si>
    <t xml:space="preserve">Forfaldne
&gt; 5 år ≤ 7 år
</t>
  </si>
  <si>
    <t>Forfaldne &gt; 7 år</t>
  </si>
  <si>
    <t xml:space="preserve">      Heraf SMV'er</t>
  </si>
  <si>
    <r>
      <rPr>
        <sz val="8.5"/>
        <color theme="1"/>
        <rFont val="Segoe UI"/>
        <family val="2"/>
      </rPr>
      <t>f</t>
    </r>
    <r>
      <rPr>
        <sz val="8"/>
        <color theme="1"/>
        <rFont val="Calibri"/>
        <family val="2"/>
        <scheme val="minor"/>
      </rPr>
      <t> </t>
    </r>
  </si>
  <si>
    <t>Hensættelser vedrørende ikkebalanceførte afgivne tilsagn og finansielle garantier</t>
  </si>
  <si>
    <t>Akkumulerede negative ændringer i dagsværdi på grund af kreditrisiko vedrørende misligholdte eksponeringer</t>
  </si>
  <si>
    <t>Heraf misligholdte eksponeringer</t>
  </si>
  <si>
    <t>Balanceførte eksponeringer</t>
  </si>
  <si>
    <t>Land 1</t>
  </si>
  <si>
    <t>Land 2</t>
  </si>
  <si>
    <t>Land 3</t>
  </si>
  <si>
    <t>Land 4</t>
  </si>
  <si>
    <t>Land N</t>
  </si>
  <si>
    <t>Andre lande</t>
  </si>
  <si>
    <t>Skema EU CQ5: Kreditkvalitet af lån og forskud til ikkefinansielle selskaber efter branche</t>
  </si>
  <si>
    <t>Regnskabsmæssig bruttoværdi</t>
  </si>
  <si>
    <t>Heraf lån og forskud, der testes for værdiforringelse</t>
  </si>
  <si>
    <t>Landbrug, skovbrug og fiskeri</t>
  </si>
  <si>
    <t>Råstofudvinding</t>
  </si>
  <si>
    <t>Fremstilling</t>
  </si>
  <si>
    <t>El-, gas- og fjernvarmeforsyning</t>
  </si>
  <si>
    <t>Vandforsyning</t>
  </si>
  <si>
    <t>Bygge- og anlægsvirksomhed</t>
  </si>
  <si>
    <t>Engros- og detailhandel</t>
  </si>
  <si>
    <t>Transport og lagring</t>
  </si>
  <si>
    <t>Overnatningsfaciliteter og restaurationsvirksomhed</t>
  </si>
  <si>
    <t>Information og kommunikation</t>
  </si>
  <si>
    <t>Pengeinstitut- og finansvirksomhed, forsikring</t>
  </si>
  <si>
    <t>Forvaltning af og handel med ejendomme</t>
  </si>
  <si>
    <t>Liberale, videnskabelige og tekniske tjenesteydelser</t>
  </si>
  <si>
    <t>Administrative tjenesteydelser og hjælpetjenester</t>
  </si>
  <si>
    <t>Offentlig forvaltning, forsvar og socialsikring</t>
  </si>
  <si>
    <t>Undervisning</t>
  </si>
  <si>
    <t>Sundhedsvæsen og sociale foranstaltninger</t>
  </si>
  <si>
    <t>Kultur, forlystelser og fritid</t>
  </si>
  <si>
    <t>Andre tjenesteydelser</t>
  </si>
  <si>
    <t xml:space="preserve">Skema EU CQ6: Værdiansættelse af sikkerhedsstillelse - lån og forskud </t>
  </si>
  <si>
    <t>Ikkemisligholdte</t>
  </si>
  <si>
    <t>Misligholdte</t>
  </si>
  <si>
    <t>Forfaldne &gt; 90 dage</t>
  </si>
  <si>
    <r>
      <rPr>
        <sz val="8.5"/>
        <color theme="1"/>
        <rFont val="Segoe UI"/>
        <family val="2"/>
      </rPr>
      <t>Heraf:</t>
    </r>
    <r>
      <rPr>
        <sz val="8.5"/>
        <color theme="1"/>
        <rFont val="Segoe UI"/>
        <family val="2"/>
      </rPr>
      <t xml:space="preserve"> </t>
    </r>
    <r>
      <rPr>
        <sz val="11"/>
        <color theme="1"/>
        <rFont val="Calibri"/>
        <family val="2"/>
        <scheme val="minor"/>
      </rPr>
      <t>forfaldne &gt; 1 år ≤ 2 år</t>
    </r>
  </si>
  <si>
    <t>Heraf: forfaldne &gt; 2 år ≤ 5 år</t>
  </si>
  <si>
    <t>Heraf: forfaldne &gt; 5 år ≤ 7 år</t>
  </si>
  <si>
    <t>Heraf sikrede</t>
  </si>
  <si>
    <t>Heraf sikret ved pant i fast ejendom</t>
  </si>
  <si>
    <t>Heraf instrumenter med en belåningsgrad på over 60 % og under eller lig med 80 %</t>
  </si>
  <si>
    <t>Heraf instrumenter med en belåningsgrad på over 80 % og under eller lig med 100 %</t>
  </si>
  <si>
    <t>Heraf instrumenter med en belåningsgrad på over 100 %</t>
  </si>
  <si>
    <t>Akkumuleret værdiforringelse for sikrede aktiver</t>
  </si>
  <si>
    <t>Sikkerhedsstillelse</t>
  </si>
  <si>
    <t>Heraf værdi begrænset til eksponeringens værdi</t>
  </si>
  <si>
    <t>Heraf fast ejendom</t>
  </si>
  <si>
    <t>Heraf værdi over loftet</t>
  </si>
  <si>
    <t>Modtagne finansielle garantier</t>
  </si>
  <si>
    <t xml:space="preserve">Skema EU CQ7: Sikkerhedsstillelse opnået gennem overtagelse og fuldbyrdelsesprocesser </t>
  </si>
  <si>
    <t xml:space="preserve">Sikkerhedsstillelse opnået gennem overtagelse </t>
  </si>
  <si>
    <t>Værdi ved første indregning</t>
  </si>
  <si>
    <t>Akkumulerede negative ændringer</t>
  </si>
  <si>
    <t>Materielle anlægsaktiver</t>
  </si>
  <si>
    <t>Bortset fra immaterielle anlægsaktiver</t>
  </si>
  <si>
    <t>Beboelsesejendomme</t>
  </si>
  <si>
    <t>Erhvervsejendomme</t>
  </si>
  <si>
    <t>Løsøre (køretøjer, skibe osv.)</t>
  </si>
  <si>
    <t>Egenkapital- og gældsinstrumenter</t>
  </si>
  <si>
    <t>Anden sikkerhedsstillelse</t>
  </si>
  <si>
    <t>Skema EU CQ8: Sikkerhedsstillelse opnået gennem overtagelse og fuldbyrdelsesprocesser – opdeling efter årgang</t>
  </si>
  <si>
    <t>Gældsbalancereduktion</t>
  </si>
  <si>
    <t>Sikkerhedsstillelse opnået gennem overtagelse i alt</t>
  </si>
  <si>
    <t>Overtaget ≤ 2 år</t>
  </si>
  <si>
    <t>Overtaget &gt; 2 år ≤ 5 år</t>
  </si>
  <si>
    <t>Overtaget &gt; 5 år</t>
  </si>
  <si>
    <t>Heraf anlægsaktiver, som besiddes med henblik på salg</t>
  </si>
  <si>
    <t>Sikkerhedsstillelse opnået ved overtagelse, klassificeret som materielle anlægsaktiver</t>
  </si>
  <si>
    <t>Sikkerhedsstillelse opnået ved overtagelse, bortset fra klassificeret som materielle anlægsaktiver</t>
  </si>
  <si>
    <t>Skema EU CQ4: Kvaliteten af misligholdte eksponeringer efter geografisk placering </t>
  </si>
  <si>
    <t>Skema EU CR3 - Overblik over kreditrisikoreduktionsteknikker  Offentliggørelse af anvendelsen af kreditrisikoreduktionsteknikker</t>
  </si>
  <si>
    <t xml:space="preserve">Usikret regnskabsmæssig værdi </t>
  </si>
  <si>
    <t>Sikret regnskabsmæssig værdi</t>
  </si>
  <si>
    <t xml:space="preserve">Gældsværdipapirer </t>
  </si>
  <si>
    <t>  </t>
  </si>
  <si>
    <t xml:space="preserve">     Heraf misligholdte eksponeringer</t>
  </si>
  <si>
    <t xml:space="preserve">            Heraf misligholdte </t>
  </si>
  <si>
    <t>Skema EU CR4 — Standardmetode — Kreditrisikoeksponering og virkninger af kreditrisikoreduktionsteknikker</t>
  </si>
  <si>
    <t xml:space="preserve"> Eksponeringsklasser</t>
  </si>
  <si>
    <t>Eksponeringer inden kreditkonvertingsfaktorer og inden kreditrisikoreduktionsteknikker</t>
  </si>
  <si>
    <t>Eksponeringer efter konverteringsfaktorer og efter kreditrisikoreduktionsteknikker</t>
  </si>
  <si>
    <t>Risikovægtede aktiver og tæthed af risikovægtede aktiver</t>
  </si>
  <si>
    <t>Risikovægtede aktiver</t>
  </si>
  <si>
    <t xml:space="preserve">Tæthed af risikovægtede aktiver (%) </t>
  </si>
  <si>
    <t>Centralregeringer eller centralbanker</t>
  </si>
  <si>
    <t>Regionale eller lokale myndigheder</t>
  </si>
  <si>
    <t>Offentlige enheder</t>
  </si>
  <si>
    <t>Multilaterale udviklingsbanker</t>
  </si>
  <si>
    <t>Internationale organisationer</t>
  </si>
  <si>
    <t>Detail</t>
  </si>
  <si>
    <t>Eksponeringer forbundet med særlig høj risiko</t>
  </si>
  <si>
    <t>Institutter og selskaber med kortsigtet kreditvurdering</t>
  </si>
  <si>
    <t>CIU'er</t>
  </si>
  <si>
    <t>Andre poster</t>
  </si>
  <si>
    <t>I ALT</t>
  </si>
  <si>
    <t>Skema CR5 — Standardmetode</t>
  </si>
  <si>
    <t>Risikovægt</t>
  </si>
  <si>
    <t>Heraf ikkeratede</t>
  </si>
  <si>
    <t>Andre</t>
  </si>
  <si>
    <t>p</t>
  </si>
  <si>
    <t>q</t>
  </si>
  <si>
    <t>Eksponeringer sikret ved pant i fast ejendom</t>
  </si>
  <si>
    <t>Eksponeringer mod institutter og selskaber med kortsigtet kreditvurdering</t>
  </si>
  <si>
    <t>Andele eller aktier i CIU'er</t>
  </si>
  <si>
    <t>Aktieeksponeringer</t>
  </si>
  <si>
    <t>Skema EU CR6 — IRB-metoden — kreditrisikoeksponeringer efter eksponeringsklasse og PD-interval</t>
  </si>
  <si>
    <t>A-IRB</t>
  </si>
  <si>
    <t>PD-interval</t>
  </si>
  <si>
    <t>Ikkebalanceførte eksponeringer inden anvendelse af kreditkonverteringsfaktorer</t>
  </si>
  <si>
    <t>Eksponeringsvægtet gennemsnitlig kreditkonverteringsfaktor</t>
  </si>
  <si>
    <t>Eksponeringsvægtet gennemsnitlig PD (%)</t>
  </si>
  <si>
    <t>Antal låntagere</t>
  </si>
  <si>
    <t>Eksponeringsvægtet gennemsnitlig LGD (%)</t>
  </si>
  <si>
    <t>Eksponeringsvægtet gennemsnitlig løbetid (år)</t>
  </si>
  <si>
    <t>Risikovægtet eksponering efter anvendelse af støttefaktorer</t>
  </si>
  <si>
    <t>Densitet af risikovægtede eksponeringer</t>
  </si>
  <si>
    <t>Værdi af forventede tab</t>
  </si>
  <si>
    <t>Værdijusteringer og hensættelser</t>
  </si>
  <si>
    <t>Eksponeringsklasse X</t>
  </si>
  <si>
    <t>0,00 til &lt;0,15</t>
  </si>
  <si>
    <t>0,00 til &lt;0,10</t>
  </si>
  <si>
    <t>0,10 til &lt;0,15</t>
  </si>
  <si>
    <t>0,15 til &lt;0,25</t>
  </si>
  <si>
    <t>0,25 til &lt;0,50</t>
  </si>
  <si>
    <t>0,50 til &lt;0,75</t>
  </si>
  <si>
    <t>0,75 til &lt;2,50</t>
  </si>
  <si>
    <t>0,75 til &lt;1,75</t>
  </si>
  <si>
    <t>1,75 til &lt;2,5</t>
  </si>
  <si>
    <t>2,50 til &lt;10,00</t>
  </si>
  <si>
    <t>2,5 til &lt;5</t>
  </si>
  <si>
    <t>5 til &lt;10</t>
  </si>
  <si>
    <t>10,00 til &lt;100,00</t>
  </si>
  <si>
    <t>10 til &lt;20</t>
  </si>
  <si>
    <t>20 til &lt;30</t>
  </si>
  <si>
    <t>30,00 til &lt;100,00</t>
  </si>
  <si>
    <t>100,00 (misligholdelse)</t>
  </si>
  <si>
    <t>Subtotal (eksponeringsklasse)</t>
  </si>
  <si>
    <t>Total (alle eksponeringsklasser)</t>
  </si>
  <si>
    <t>F-IRB</t>
  </si>
  <si>
    <t>Skema EU CR6-A – IRB-metoden – anvendelsesområdet for IRB-metoden og SA-metoden</t>
  </si>
  <si>
    <t>Eksponeringsværdi som defineret i artikel 166 i CRR for eksponeringer omfattet af IRB-metoden</t>
  </si>
  <si>
    <t>Samlet eksponeringsværdi for eksponeringer omfattet af standardmetoden og IRB-metoden</t>
  </si>
  <si>
    <t>Procentdel af den samlede eksponeringsværdi omfattet af en permanent delvis anvendelse af SA (%)</t>
  </si>
  <si>
    <t>Procentdel af den samlede eksponeringsværdi, der er omfattet af IRB-metoden (%)</t>
  </si>
  <si>
    <t>Procentdel af den samlede eksponeringsværdi, der er omfattet af en roll-out-plan (%)</t>
  </si>
  <si>
    <t xml:space="preserve">Centralregeringer eller centralbanker </t>
  </si>
  <si>
    <t xml:space="preserve">Heraf regionale eller lokale myndigheder </t>
  </si>
  <si>
    <t xml:space="preserve">Heraf offentlige enheder </t>
  </si>
  <si>
    <t>Heraf selskaber — specialiseret långivning, eksklusive omfattet af kategoriseringsmetoden</t>
  </si>
  <si>
    <t>Heraf selskaber — specialiseret långivning omfattet af kategoriseringsmetoden</t>
  </si>
  <si>
    <t>heraf detail — sikret ved pant i fast ejendom SMV'er</t>
  </si>
  <si>
    <t>heraf detail — sikret ved pant i fast ejendom ikke-SMV'er</t>
  </si>
  <si>
    <t>Heraf detail — kvalificeret revolverende</t>
  </si>
  <si>
    <t>Heraf detail — andre SMV'er</t>
  </si>
  <si>
    <t>Heraf detail — andre ikke-SMV'er</t>
  </si>
  <si>
    <t>Andre aktiver, der ikke er gældsforpligtelser</t>
  </si>
  <si>
    <t xml:space="preserve">I alt </t>
  </si>
  <si>
    <t>Skema EU CR7 – IRB-metoden – Virkning af kreditderivater anvendt som CRM-teknikker på de risikovægtede eksponeringer</t>
  </si>
  <si>
    <t>Risikovægtede eksponeringer inden kreditderivater</t>
  </si>
  <si>
    <t>Værdien af den faktiske risikovægtede eksponering</t>
  </si>
  <si>
    <t>Eksponeringer omfattet af F-IRB</t>
  </si>
  <si>
    <t>Centralregeringer og centralbanker</t>
  </si>
  <si>
    <t xml:space="preserve">Selskaber </t>
  </si>
  <si>
    <t>Heraf selskaber — SMV'er</t>
  </si>
  <si>
    <t>Heraf selskaber — specialiseret långivning</t>
  </si>
  <si>
    <t>Eksponeringer omfattet af A-IRB</t>
  </si>
  <si>
    <t xml:space="preserve">  </t>
  </si>
  <si>
    <t xml:space="preserve">heraf detail — SMV'er — med sikkerhed i fast ejendom </t>
  </si>
  <si>
    <t>heraf detail — ikke-SMV'er — med sikkerhed i fast ejendom</t>
  </si>
  <si>
    <t>heraf detail — SMV'er —andre</t>
  </si>
  <si>
    <t>heraf detail — ikke-SMV'er —andre</t>
  </si>
  <si>
    <t>I ALT (herunder F-IRB-eksponeringer og A-IRB-eksponeringer)</t>
  </si>
  <si>
    <t>Skema EU CR7-A – IRB-metoden – Offentliggørelse af omfanget af anvendelsen af kreditrisikoreduktionsteknikker</t>
  </si>
  <si>
    <t xml:space="preserve">Samlede eksponeringer
</t>
  </si>
  <si>
    <t>Kreditrisikoreduktionsteknikker</t>
  </si>
  <si>
    <t>Kreditrisikoreduktionsteknikker ved beregningen af risikovægtede eksponeringer</t>
  </si>
  <si>
    <t>Finansieret kreditrisikoafdækning (FCP)</t>
  </si>
  <si>
    <r>
      <rPr>
        <sz val="8.5"/>
        <color theme="1"/>
        <rFont val="Segoe UI"/>
        <family val="2"/>
      </rPr>
      <t xml:space="preserve"> </t>
    </r>
    <r>
      <rPr>
        <sz val="8.5"/>
        <color theme="1"/>
        <rFont val="Segoe UI"/>
        <family val="2"/>
      </rPr>
      <t>Ufinansieret kreditrisikoafdækning (UFCP)</t>
    </r>
  </si>
  <si>
    <r>
      <rPr>
        <b/>
        <sz val="8.5"/>
        <color theme="1"/>
        <rFont val="Segoe UI"/>
        <family val="2"/>
      </rPr>
      <t>Risikovægtede eksponeringer uden substitutionsvirkninger</t>
    </r>
    <r>
      <rPr>
        <b/>
        <sz val="8.5"/>
        <color theme="1"/>
        <rFont val="Segoe UI"/>
        <family val="2"/>
      </rPr>
      <t xml:space="preserve">
</t>
    </r>
    <r>
      <rPr>
        <sz val="8.5"/>
        <color theme="1"/>
        <rFont val="Segoe UI"/>
        <family val="2"/>
      </rPr>
      <t>(kun reduktionsvirkninger)</t>
    </r>
    <r>
      <rPr>
        <sz val="8.5"/>
        <color theme="1"/>
        <rFont val="Segoe UI"/>
        <family val="2"/>
      </rPr>
      <t xml:space="preserve">
</t>
    </r>
  </si>
  <si>
    <r>
      <rPr>
        <b/>
        <sz val="8.5"/>
        <color theme="1"/>
        <rFont val="Segoe UI"/>
        <family val="2"/>
      </rPr>
      <t>Risikovægtede eksponeringer med substitutionsvirkninger</t>
    </r>
    <r>
      <rPr>
        <b/>
        <sz val="8.5"/>
        <color theme="1"/>
        <rFont val="Segoe UI"/>
        <family val="2"/>
      </rPr>
      <t xml:space="preserve">
</t>
    </r>
    <r>
      <rPr>
        <sz val="8.5"/>
        <color theme="1"/>
        <rFont val="Segoe UI"/>
        <family val="2"/>
      </rPr>
      <t>(både reduktions- og substitutionsvirkninger)</t>
    </r>
    <r>
      <rPr>
        <b/>
        <sz val="8.5"/>
        <color theme="1"/>
        <rFont val="Segoe UI"/>
        <family val="2"/>
      </rPr>
      <t xml:space="preserve">
</t>
    </r>
  </si>
  <si>
    <r>
      <rPr>
        <sz val="8.5"/>
        <color theme="1"/>
        <rFont val="Segoe UI"/>
        <family val="2"/>
      </rPr>
      <t xml:space="preserve"> 
</t>
    </r>
    <r>
      <rPr>
        <sz val="8.5"/>
        <color theme="1"/>
        <rFont val="Segoe UI"/>
        <family val="2"/>
      </rPr>
      <t xml:space="preserve">Andel af eksponeringer, der dækkes af </t>
    </r>
    <r>
      <rPr>
        <b/>
        <sz val="8.5"/>
        <color theme="1"/>
        <rFont val="Segoe UI"/>
        <family val="2"/>
      </rPr>
      <t>finansiel sikkerhedsstillelse (%)</t>
    </r>
  </si>
  <si>
    <r>
      <rPr>
        <sz val="8.5"/>
        <color theme="1"/>
        <rFont val="Segoe UI"/>
        <family val="2"/>
      </rPr>
      <t xml:space="preserve">Andel af eksponeringer, der dækkes af </t>
    </r>
    <r>
      <rPr>
        <b/>
        <sz val="8.5"/>
        <color theme="1"/>
        <rFont val="Segoe UI"/>
        <family val="2"/>
      </rPr>
      <t>anden anerkendt sikkerhedsstillelse (%)</t>
    </r>
  </si>
  <si>
    <r>
      <rPr>
        <sz val="8.5"/>
        <color theme="1"/>
        <rFont val="Segoe UI"/>
        <family val="2"/>
      </rPr>
      <t xml:space="preserve">Andel af eksponeringer, der dækkes af </t>
    </r>
    <r>
      <rPr>
        <b/>
        <sz val="8.5"/>
        <color theme="1"/>
        <rFont val="Segoe UI"/>
        <family val="2"/>
      </rPr>
      <t>anden finansieret kreditrisikoafdækning (%)</t>
    </r>
  </si>
  <si>
    <r>
      <rPr>
        <sz val="8.5"/>
        <color theme="1"/>
        <rFont val="Segoe UI"/>
        <family val="2"/>
      </rPr>
      <t xml:space="preserve">
</t>
    </r>
    <r>
      <rPr>
        <sz val="8.5"/>
        <color theme="1"/>
        <rFont val="Segoe UI"/>
        <family val="2"/>
      </rPr>
      <t xml:space="preserve">Andel af eksponeringer, der dækkes af </t>
    </r>
    <r>
      <rPr>
        <b/>
        <sz val="8.5"/>
        <color theme="1"/>
        <rFont val="Segoe UI"/>
        <family val="2"/>
      </rPr>
      <t>garantier (%)</t>
    </r>
  </si>
  <si>
    <r>
      <rPr>
        <sz val="8.5"/>
        <color theme="1"/>
        <rFont val="Segoe UI"/>
        <family val="2"/>
      </rPr>
      <t xml:space="preserve">Andel af eksponeringer, der dækkes af </t>
    </r>
    <r>
      <rPr>
        <b/>
        <sz val="8.5"/>
        <color theme="1"/>
        <rFont val="Segoe UI"/>
        <family val="2"/>
      </rPr>
      <t>kreditderivater</t>
    </r>
    <r>
      <rPr>
        <sz val="8.5"/>
        <color theme="1"/>
        <rFont val="Segoe UI"/>
        <family val="2"/>
      </rPr>
      <t xml:space="preserve"> (%)</t>
    </r>
  </si>
  <si>
    <r>
      <rPr>
        <sz val="8.5"/>
        <color theme="1"/>
        <rFont val="Segoe UI"/>
        <family val="2"/>
      </rPr>
      <t xml:space="preserve">Andel af eksponeringer, der dækkes af </t>
    </r>
    <r>
      <rPr>
        <b/>
        <sz val="8.5"/>
        <color theme="1"/>
        <rFont val="Segoe UI"/>
        <family val="2"/>
      </rPr>
      <t>sikkerhed i fast ejendom (%)</t>
    </r>
  </si>
  <si>
    <r>
      <rPr>
        <sz val="8.5"/>
        <color theme="1"/>
        <rFont val="Segoe UI"/>
        <family val="2"/>
      </rPr>
      <t xml:space="preserve">Andel af eksponeringer, der dækkes af </t>
    </r>
    <r>
      <rPr>
        <b/>
        <sz val="8.5"/>
        <color theme="1"/>
        <rFont val="Segoe UI"/>
        <family val="2"/>
      </rPr>
      <t>fordringer (%)</t>
    </r>
  </si>
  <si>
    <r>
      <rPr>
        <sz val="8.5"/>
        <color theme="1"/>
        <rFont val="Segoe UI"/>
        <family val="2"/>
      </rPr>
      <t xml:space="preserve">Andel af eksponeringer, der dækkes af </t>
    </r>
    <r>
      <rPr>
        <b/>
        <sz val="8.5"/>
        <color theme="1"/>
        <rFont val="Segoe UI"/>
        <family val="2"/>
      </rPr>
      <t>anden fysisk sikkerhed (%)</t>
    </r>
  </si>
  <si>
    <r>
      <rPr>
        <sz val="8.5"/>
        <color theme="1"/>
        <rFont val="Segoe UI"/>
        <family val="2"/>
      </rPr>
      <t xml:space="preserve">Andel af eksponeringer, der dækkes af </t>
    </r>
    <r>
      <rPr>
        <b/>
        <sz val="8.5"/>
        <color theme="1"/>
        <rFont val="Segoe UI"/>
        <family val="2"/>
      </rPr>
      <t>kontant indlån (%)</t>
    </r>
  </si>
  <si>
    <r>
      <rPr>
        <sz val="8.5"/>
        <color theme="1"/>
        <rFont val="Segoe UI"/>
        <family val="2"/>
      </rPr>
      <t xml:space="preserve">Andel af eksponeringer, der dækkes af </t>
    </r>
    <r>
      <rPr>
        <b/>
        <sz val="8.5"/>
        <color theme="1"/>
        <rFont val="Segoe UI"/>
        <family val="2"/>
      </rPr>
      <t>livsforsikringspolicer (%)</t>
    </r>
  </si>
  <si>
    <r>
      <rPr>
        <sz val="8.5"/>
        <color theme="1"/>
        <rFont val="Segoe UI"/>
        <family val="2"/>
      </rPr>
      <t xml:space="preserve">Andel af eksponeringer, der dækkes af </t>
    </r>
    <r>
      <rPr>
        <b/>
        <sz val="8.5"/>
        <color theme="1"/>
        <rFont val="Segoe UI"/>
        <family val="2"/>
      </rPr>
      <t>instrumenter, som besiddes af tredjepart (%)</t>
    </r>
  </si>
  <si>
    <t>Heraf selskaber — andre</t>
  </si>
  <si>
    <t>Heraf detail — fast ejendom SMV'er</t>
  </si>
  <si>
    <t>Heraf detail — fast ejendom ikke-SMV'er</t>
  </si>
  <si>
    <t xml:space="preserve">Skema EU CR8 - RWEA-flowtabeller for kreditrisikoeksponeringer i henhold til IRB-metoden. </t>
  </si>
  <si>
    <t>Risikovægtet eksponering</t>
  </si>
  <si>
    <t>Risikovægtet eksponering ved udgangen af den foregående indberetningsperiode</t>
  </si>
  <si>
    <t>Aktivernes størrelse (+/-)</t>
  </si>
  <si>
    <t>Aktivernes kvalitet (+/-)</t>
  </si>
  <si>
    <t>Opdateringer af modeller (+/-)</t>
  </si>
  <si>
    <t>Metode og politik (+/-)</t>
  </si>
  <si>
    <t>Anskaffelser og afhændelser (+/-)</t>
  </si>
  <si>
    <t>Valutakursændringer (+/-)</t>
  </si>
  <si>
    <t>Andre faktorer (+/-)</t>
  </si>
  <si>
    <t>Risikovægtet eksponering ved udgangen af indberetningsperioden</t>
  </si>
  <si>
    <t>Skema CR9 –IRB-metoden – Back-testing af PD efter eksponeringsklasse. (fastsat PD-skala)</t>
  </si>
  <si>
    <t>Eksponeringsklasse</t>
  </si>
  <si>
    <t>Antal låntagere ved udgangen af det foregående år</t>
  </si>
  <si>
    <t>Den observerede gennemsnitlige misligholdelsesrate (%)</t>
  </si>
  <si>
    <t>Gennemsnitlig PD (%)</t>
  </si>
  <si>
    <t>Gennemsnitlig historisk årlig misligholdelsesrate (%)</t>
  </si>
  <si>
    <t>Heraf antal låntagere, der misligholdt i løbet af året</t>
  </si>
  <si>
    <t>Gennemsnitlig PD</t>
  </si>
  <si>
    <t>Skema CR9.1 – IRB metoden – Back-testing af PD efter eksponeringsklasse (kun for PD-estimater i henhold til artikel 180, stk. 1, litra f), i CRR)</t>
  </si>
  <si>
    <t>Tilsvarende ekstern rating</t>
  </si>
  <si>
    <t>Skema EU CR10 – Specialiseret långivning og aktieeksponeringer i henhold til den forenklede risikovægtningsmetode</t>
  </si>
  <si>
    <t>Skema EU CR10.1</t>
  </si>
  <si>
    <t>Specialiseret långivning: projektfinansiering (kategoriseringsmetode)</t>
  </si>
  <si>
    <t>Lovbestemte kategorier</t>
  </si>
  <si>
    <t>Restløbetid</t>
  </si>
  <si>
    <t>Balanceført eksponering</t>
  </si>
  <si>
    <t>Ikkebalanceført eksponering</t>
  </si>
  <si>
    <t>Kategori 1</t>
  </si>
  <si>
    <t>Under 2,5 år</t>
  </si>
  <si>
    <t>Lig med eller over 2,5 år</t>
  </si>
  <si>
    <t>Kategori 2</t>
  </si>
  <si>
    <t>Kategori 3</t>
  </si>
  <si>
    <t>Kategori 4</t>
  </si>
  <si>
    <t>Kategori 5</t>
  </si>
  <si>
    <t>-</t>
  </si>
  <si>
    <t>Skema EU CR10.2</t>
  </si>
  <si>
    <t>Specialiseret långivning: Indtægtsgenerende fast ejendom og erhvervsejendomme med høj volatilitet (kategoriseringsmetode)</t>
  </si>
  <si>
    <t>Skema EU CR10.3</t>
  </si>
  <si>
    <t>Specialiseret långivning: Objektfinansiering (kategoriseringsmetode)</t>
  </si>
  <si>
    <t>Skema EU CR10.4</t>
  </si>
  <si>
    <t>Specialiseret långivning: Råvarefinansiering (kategoriseringsmetode)</t>
  </si>
  <si>
    <t>Skema EU CR10.5</t>
  </si>
  <si>
    <t>Aktieeksponeringer i henhold til den forenklede risikovægtningsmetode</t>
  </si>
  <si>
    <t>Kategorier</t>
  </si>
  <si>
    <t>Private equity-eksponeringer</t>
  </si>
  <si>
    <t>Børsnoterede eksponeringer</t>
  </si>
  <si>
    <t>Andre aktieeksponeringer</t>
  </si>
  <si>
    <t>Skema EU CCR1 - Analyse af modpartskreditrisikoeksponeringer efter metode</t>
  </si>
  <si>
    <t>Fast format.</t>
  </si>
  <si>
    <t>Genanskaffelsesomkostninger</t>
  </si>
  <si>
    <t>Potentiel fremtidig eksponering</t>
  </si>
  <si>
    <t>EU — Den oprindelige eksponeringsmetode (for derivater)</t>
  </si>
  <si>
    <t>1,4</t>
  </si>
  <si>
    <t>EU — forenklet standardmetode for modpartskreditrisiko (for derivater)</t>
  </si>
  <si>
    <t>Standardmetode for modpartskreditrisiko (for derivater)</t>
  </si>
  <si>
    <t>Metoden med interne modeller (for derivater og værdipapirfinansieringstransaktioner)</t>
  </si>
  <si>
    <t>2a</t>
  </si>
  <si>
    <t>Heraf nettinggrupper for værdipapirfinansieringstransaktioner</t>
  </si>
  <si>
    <t>2b</t>
  </si>
  <si>
    <t>Heraf nettinggrupper for derivater og terminsforretninger</t>
  </si>
  <si>
    <t>2c</t>
  </si>
  <si>
    <t>Heraf fra aftaler om nettinggrupper på tværs af produkter</t>
  </si>
  <si>
    <t>Den enkle metode for finansiel sikkerhed (for SFT'er)</t>
  </si>
  <si>
    <t>Den udbyggede metode for finansiel sikkerhed (for SFT'er)</t>
  </si>
  <si>
    <t>Value-at-risk for værdipapirfinansieringstransaktioner</t>
  </si>
  <si>
    <t>Skema EU CCR2 – Transaktioner underlagt kapitalgrundlagskrav for kreditværdijusteringsrisiko</t>
  </si>
  <si>
    <t>Samlet andel af transaktioner underlagt den avancerede metode</t>
  </si>
  <si>
    <t xml:space="preserve">   i) Value-at-risk-komponent (inklusive multiplikationsfaktoren på 3)</t>
  </si>
  <si>
    <t xml:space="preserve">   ii) Value-at-risk-komponent i stresssituationer (inklusive multiplikationsfaktoren på 3)</t>
  </si>
  <si>
    <t>Transaktioner underlagt standardmetoden</t>
  </si>
  <si>
    <t xml:space="preserve">Samlet antal transaktioner underlagt kapitalgrundlagskrav for kreditværdijusteringsrisiko </t>
  </si>
  <si>
    <t>Skema EU CCR3 — standardmetoden — modpartskreditrisikoeksponeringer efter eksponeringsklasse og risikovægte</t>
  </si>
  <si>
    <t>Eksponeringsklasser</t>
  </si>
  <si>
    <t xml:space="preserve">Regionale eller lokale myndigheder </t>
  </si>
  <si>
    <t>Skema EU CCR4 — IRB-metoden — modpartskreditrisikoeksponeringer efter eksponeringsklasse og PD-skala</t>
  </si>
  <si>
    <t>PD-skala</t>
  </si>
  <si>
    <t>1 … x</t>
  </si>
  <si>
    <t>x</t>
  </si>
  <si>
    <t>Subtotal (eksponeringsklasse X)</t>
  </si>
  <si>
    <t>y</t>
  </si>
  <si>
    <t>I alt (alle relevante modpartskreditrisikoeksponeringsklasser)</t>
  </si>
  <si>
    <t>Faste kolonner</t>
  </si>
  <si>
    <t>Sikkerhedsstillelse anvendt i derivattransaktioner</t>
  </si>
  <si>
    <t>Sikkerhedsstillelse anvendt i værdipapirfinansieringstransaktioner</t>
  </si>
  <si>
    <t>Sikkerhedsstillelsestype</t>
  </si>
  <si>
    <t>Dagsværdi af modtagne sikkerheder</t>
  </si>
  <si>
    <t>Dagsværdi af stillede sikkerheder</t>
  </si>
  <si>
    <t>Adskilt</t>
  </si>
  <si>
    <t>Ikkeadskilt</t>
  </si>
  <si>
    <t>Kontanter — national valuta</t>
  </si>
  <si>
    <t>Kontanter – andre valutaer</t>
  </si>
  <si>
    <t>Indenlandsk statsgæld</t>
  </si>
  <si>
    <t>Anden statsgæld</t>
  </si>
  <si>
    <t>Gæld fra statslige myndigheder</t>
  </si>
  <si>
    <t>Virksomhedsobligationer</t>
  </si>
  <si>
    <t>Aktieinstrumenter</t>
  </si>
  <si>
    <t>Skema EU CCR6 – Eksponering for kreditderivater</t>
  </si>
  <si>
    <t>Faste</t>
  </si>
  <si>
    <t>Købt afdækning</t>
  </si>
  <si>
    <t>Solgt afdækning</t>
  </si>
  <si>
    <t>Notionelle værdier</t>
  </si>
  <si>
    <t>Single name credit default swaps</t>
  </si>
  <si>
    <t>Indeksebaserede credit default swaps</t>
  </si>
  <si>
    <t>Total return swaps</t>
  </si>
  <si>
    <t>Kreditoptioner</t>
  </si>
  <si>
    <t>Andre kreditderivater</t>
  </si>
  <si>
    <t>Notionelle værdier i alt</t>
  </si>
  <si>
    <t>Dagsværdier</t>
  </si>
  <si>
    <t>Positiv dagsværdi (aktiv)</t>
  </si>
  <si>
    <t>Negativ dagsværdi (forpligtelse)</t>
  </si>
  <si>
    <t>Skema EU CCR7 - RWEA-flowtabeller for markedsrisikoeksponeringer i henhold til IMM</t>
  </si>
  <si>
    <t>Risikovægtede eksponeringer ved afslutningen af den foregående offentliggørelsesperiode</t>
  </si>
  <si>
    <t>Aktivernes størrelse</t>
  </si>
  <si>
    <t>Modparternes kreditkvalitet</t>
  </si>
  <si>
    <t>Opdateringer af modeller (kun metoden med interne modeller)</t>
  </si>
  <si>
    <t>Metodologi og politik (kun metoden med interne modeller)</t>
  </si>
  <si>
    <t>Anskaffelser og afhændelser</t>
  </si>
  <si>
    <t>Valutabevægelser</t>
  </si>
  <si>
    <t>Andet</t>
  </si>
  <si>
    <t>Risikovægtede eksponeringer ved afslutningen af den indeværende offentliggørelsesperiode</t>
  </si>
  <si>
    <t>Skema EU CCR8 -Modpartskreditrisikoeksponeringer</t>
  </si>
  <si>
    <t xml:space="preserve">Eksponeringsværdi </t>
  </si>
  <si>
    <t>Eksponeringer mod QCCP'er (i alt)</t>
  </si>
  <si>
    <t>Eksponeringer for handel hos QCCP'er (undtagen initialmargen og bidrag til misligholdelsesfond) heraf</t>
  </si>
  <si>
    <t xml:space="preserve">   i) OTC-derivater</t>
  </si>
  <si>
    <t xml:space="preserve">   ii) børshandlede derivater</t>
  </si>
  <si>
    <t xml:space="preserve">   iii) SFT'er</t>
  </si>
  <si>
    <t xml:space="preserve">   iv) nettinggrupper, hvor netting på tværs af produkter er blevet godkendt</t>
  </si>
  <si>
    <t>Adskilt initialmargen</t>
  </si>
  <si>
    <t>Ikkeadskilt initialmargen</t>
  </si>
  <si>
    <t>Indbetalte bidrag til misligholdelsesfonde</t>
  </si>
  <si>
    <t>Ikke-indbetalte bidrag til misligholdelsesfonde</t>
  </si>
  <si>
    <t>Eksponeringer mod ikke-QCCP'er (i alt)</t>
  </si>
  <si>
    <t>Eksponeringer for handel hos ikke-QCCP'er (undtagen initialmargen og bidrag til misligholdelsesfond) heraf</t>
  </si>
  <si>
    <t>Skema EU CCR5 — Sammensætning af sikkerhedsstillelse for modpartskreditrisikoeksponeringer</t>
  </si>
  <si>
    <t>Instituttet optræder som eksponeringsleverende institut</t>
  </si>
  <si>
    <t>Instituttet optræder som organiserende institut</t>
  </si>
  <si>
    <t>Instituttet optræder som investor</t>
  </si>
  <si>
    <t>Traditionel</t>
  </si>
  <si>
    <t>Syntetisk</t>
  </si>
  <si>
    <t>Subtotal</t>
  </si>
  <si>
    <t>STS</t>
  </si>
  <si>
    <t>Ikke-STS</t>
  </si>
  <si>
    <t>heraf væsentlig risikooverførsel</t>
  </si>
  <si>
    <t>Samlede eksponeringer</t>
  </si>
  <si>
    <t>Detail (i alt)</t>
  </si>
  <si>
    <t xml:space="preserve">   realkreditlån i beboelsesejendomme</t>
  </si>
  <si>
    <t xml:space="preserve">   kreditkort</t>
  </si>
  <si>
    <t xml:space="preserve">   andre detaileksponeringer </t>
  </si>
  <si>
    <t xml:space="preserve">   resecuritisering</t>
  </si>
  <si>
    <t>Engros (i alt)</t>
  </si>
  <si>
    <t xml:space="preserve">   lån til selskaber</t>
  </si>
  <si>
    <t xml:space="preserve">   realkreditlån i erhvervsejendomme </t>
  </si>
  <si>
    <t xml:space="preserve">   leasing og tilgodehavender</t>
  </si>
  <si>
    <t xml:space="preserve">   øvrig engros</t>
  </si>
  <si>
    <t>Skema EU-SEC2 - Securitiseringseksponeringer i handelsbeholdningen</t>
  </si>
  <si>
    <t>Skema EU-SEC3 - Securitiseringseksponeringer uden for handelsbeholdningen og tilknyttede lovbestemte kapitalkrav - instituttet optræder som eksponeringsleverende eller organiserende institut</t>
  </si>
  <si>
    <t>EU-p</t>
  </si>
  <si>
    <t>EU-q</t>
  </si>
  <si>
    <t>Eksponeringsværdier (efter risikovægtintervaller/fradrag)</t>
  </si>
  <si>
    <t>Eksponeringsværdier (efter lovgivningsmæssig fremgangsmåde)</t>
  </si>
  <si>
    <t>Risikovægtede eksponeringer (efter lovgivningsmæssig fremgangsmåde)</t>
  </si>
  <si>
    <t>Kapitalkrav efter loft</t>
  </si>
  <si>
    <t>≤ 20 % risikovægt</t>
  </si>
  <si>
    <t xml:space="preserve"> &gt; 20 % til 50 % risikovægt</t>
  </si>
  <si>
    <t xml:space="preserve"> &gt; 50 % til 100 %           risikovægt</t>
  </si>
  <si>
    <t xml:space="preserve"> &gt; 100 % til &lt; 1 250 %     risikovægt</t>
  </si>
  <si>
    <t>1 250 % risikovægt/fradrag</t>
  </si>
  <si>
    <t>SEC-IRBA</t>
  </si>
  <si>
    <t>SEC-ERBA
(inklusive IAA)</t>
  </si>
  <si>
    <t>SEC-SA</t>
  </si>
  <si>
    <t>1 250 % risikovægt/
fradrag</t>
  </si>
  <si>
    <t xml:space="preserve">Traditionelle transaktioner </t>
  </si>
  <si>
    <t xml:space="preserve">   Securitisering</t>
  </si>
  <si>
    <t xml:space="preserve">       Detail</t>
  </si>
  <si>
    <t xml:space="preserve">       Heraf STS</t>
  </si>
  <si>
    <t xml:space="preserve">       Engros</t>
  </si>
  <si>
    <t xml:space="preserve">   Resecuritisering</t>
  </si>
  <si>
    <t xml:space="preserve">Syntetiske transaktioner </t>
  </si>
  <si>
    <t xml:space="preserve">       Detail, underliggende</t>
  </si>
  <si>
    <t>Skema EU-SEC4 - Securitiseringseksponeringer uden for handelsbeholdningen og tilknyttede lovpligtige kapitalkrav - instituttet optræder som investorinstitut</t>
  </si>
  <si>
    <t xml:space="preserve">Traditionel securitisering </t>
  </si>
  <si>
    <t xml:space="preserve">Syntetisk securitisering </t>
  </si>
  <si>
    <t>Skema EU-SEC5 - Eksponeringer securitiseret af instituttet - Misligholdte eksponeringer og specifikke kreditrisikojusteringer</t>
  </si>
  <si>
    <t>Eksponeringer securitiseret af instituttet — Instituttet handler som eksponeringsleverende eller organiserende institut</t>
  </si>
  <si>
    <t>Samlet udestående nominelt beløb</t>
  </si>
  <si>
    <t>Samlet beløb for specifikke kreditrisikojusteringer foretaget i løbet af perioden</t>
  </si>
  <si>
    <t>Skema EU-SEC1 - Securitiseringseksponeringer uden for handelsbeholdningen</t>
  </si>
  <si>
    <t>Skema EU MR1 - Markedsrisiko i henhold til standardmetoden</t>
  </si>
  <si>
    <t>Risikovægtede eksponeringer (RWEA)</t>
  </si>
  <si>
    <t>Direkte produkter</t>
  </si>
  <si>
    <t>Renterisiko (generel og specifik)</t>
  </si>
  <si>
    <t>Aktierisiko (generel og specifik)</t>
  </si>
  <si>
    <t>Valutarisiko</t>
  </si>
  <si>
    <t xml:space="preserve">Råvarerisiko </t>
  </si>
  <si>
    <t xml:space="preserve">Optioner </t>
  </si>
  <si>
    <t>Forenklet metode</t>
  </si>
  <si>
    <t>Delta plus-metode</t>
  </si>
  <si>
    <t>Scenario-metode</t>
  </si>
  <si>
    <t>Skema EU MR2-A - Markedsrisiko i henhold til metoden med interne modeller (IMA)</t>
  </si>
  <si>
    <r>
      <rPr>
        <b/>
        <sz val="10"/>
        <color theme="1"/>
        <rFont val="Arial"/>
        <family val="2"/>
      </rPr>
      <t>VaR</t>
    </r>
    <r>
      <rPr>
        <sz val="10"/>
        <color theme="1"/>
        <rFont val="Arial"/>
        <family val="2"/>
      </rPr>
      <t xml:space="preserve"> (den højeste af værdierne a og b)</t>
    </r>
  </si>
  <si>
    <t>a)</t>
  </si>
  <si>
    <r>
      <rPr>
        <sz val="11"/>
        <color theme="1"/>
        <rFont val="Arial"/>
        <family val="2"/>
      </rPr>
      <t>Foregående dags VaR (VaRt-1)</t>
    </r>
    <r>
      <rPr>
        <sz val="10"/>
        <color theme="1"/>
        <rFont val="Arial"/>
        <family val="2"/>
      </rPr>
      <t xml:space="preserve"> </t>
    </r>
  </si>
  <si>
    <t>b)</t>
  </si>
  <si>
    <t>Multiplikationsfaktor (mc) x gennemsnit for de foregående 60 arbejdsdage (VaRavg)</t>
  </si>
  <si>
    <r>
      <rPr>
        <b/>
        <sz val="10"/>
        <color theme="1"/>
        <rFont val="Arial"/>
        <family val="2"/>
      </rPr>
      <t xml:space="preserve">SVaR </t>
    </r>
    <r>
      <rPr>
        <sz val="10"/>
        <color theme="1"/>
        <rFont val="Arial"/>
        <family val="2"/>
      </rPr>
      <t>(den højeste af værdierne a og b)</t>
    </r>
  </si>
  <si>
    <r>
      <rPr>
        <sz val="11"/>
        <color theme="1"/>
        <rFont val="Arial"/>
        <family val="2"/>
      </rPr>
      <t>Den seneste tilgængelige SVaR (SVaRt-1)</t>
    </r>
  </si>
  <si>
    <r>
      <rPr>
        <sz val="11"/>
        <color theme="1"/>
        <rFont val="Arial"/>
        <family val="2"/>
      </rPr>
      <t>Multiplikationsfaktor (ms) x gennemsnit for de foregående 60 arbejdsdage (sVaRavg)</t>
    </r>
  </si>
  <si>
    <r>
      <rPr>
        <b/>
        <sz val="10"/>
        <color theme="1"/>
        <rFont val="Arial"/>
        <family val="2"/>
      </rPr>
      <t>IRC</t>
    </r>
    <r>
      <rPr>
        <sz val="10"/>
        <color theme="1"/>
        <rFont val="Arial"/>
        <family val="2"/>
      </rPr>
      <t xml:space="preserve"> (den højeste af værdierne a og b)</t>
    </r>
  </si>
  <si>
    <t>Seneste måling af forøget misligholdelses- og migreringsrisiko</t>
  </si>
  <si>
    <t>Gennemsnit af måling af forøget misligholdelses- og migreringsrisiko over 12 uger</t>
  </si>
  <si>
    <r>
      <rPr>
        <b/>
        <sz val="10"/>
        <color theme="1"/>
        <rFont val="Arial"/>
        <family val="2"/>
      </rPr>
      <t>Omfattende risikomåling</t>
    </r>
    <r>
      <rPr>
        <sz val="10"/>
        <color theme="1"/>
        <rFont val="Arial"/>
        <family val="2"/>
      </rPr>
      <t xml:space="preserve"> (den højeste af værdierne a og b)</t>
    </r>
  </si>
  <si>
    <t>Seneste risikomåling af omfattende risikomåling</t>
  </si>
  <si>
    <t>Gennemsnit af måling af omfattende risikomåling over 12 uger</t>
  </si>
  <si>
    <t>c)</t>
  </si>
  <si>
    <t>Omfattende risikomåling — nedre grænse</t>
  </si>
  <si>
    <t xml:space="preserve">Andet </t>
  </si>
  <si>
    <t>Skema EU MR2-B - RWEA-flowtabeller for markedsrisikoeksponeringer i henhold til IMA</t>
  </si>
  <si>
    <t>VaR</t>
  </si>
  <si>
    <t>SVaR</t>
  </si>
  <si>
    <t>IRC</t>
  </si>
  <si>
    <t>Omfattende risikomåling</t>
  </si>
  <si>
    <t>Risikovægtede eksponeringer i alt</t>
  </si>
  <si>
    <t xml:space="preserve">Risikovægtede eksponeringer ved afslutningen af den foregående periode </t>
  </si>
  <si>
    <t>1a</t>
  </si>
  <si>
    <t>Lovpligtig justering</t>
  </si>
  <si>
    <t>1b</t>
  </si>
  <si>
    <t xml:space="preserve">Risikovægtede eksponeringer ved afslutningen af foregående kvartal (afslutning af dagen) </t>
  </si>
  <si>
    <t xml:space="preserve">Bevægelse i risikoniveauer </t>
  </si>
  <si>
    <t xml:space="preserve">Modelopdateringer/-ændringer </t>
  </si>
  <si>
    <t>Metode og politik</t>
  </si>
  <si>
    <t xml:space="preserve">Anskaffelser og afhændelser </t>
  </si>
  <si>
    <t xml:space="preserve">Valutabevægelser </t>
  </si>
  <si>
    <t>8a</t>
  </si>
  <si>
    <t xml:space="preserve">Risikovægtede eksponeringer ved afslutningen af offentliggørelsesperioden (afslutning af dagen) </t>
  </si>
  <si>
    <t>8b</t>
  </si>
  <si>
    <t xml:space="preserve">Risikovægtede eksponeringer ved afslutningen af offentliggørelsesperioden </t>
  </si>
  <si>
    <t>Skema EU MR3 - IMA-værdier for handelsporteføljer</t>
  </si>
  <si>
    <t xml:space="preserve">VaR (10 dage, 99 %) </t>
  </si>
  <si>
    <t>Maksimumsværdi</t>
  </si>
  <si>
    <t>Gennemsnitsværdi</t>
  </si>
  <si>
    <t xml:space="preserve">Minimumsværdi </t>
  </si>
  <si>
    <t>Afslutning af periode</t>
  </si>
  <si>
    <t>SVaR (10 dage, 99 %)</t>
  </si>
  <si>
    <t>IRC (99,9 %)</t>
  </si>
  <si>
    <t xml:space="preserve">Omfattende risikomåling (99,9 %) </t>
  </si>
  <si>
    <t>Skema EU MR4 - Sammenligning af VaR-estimater med gevinster/tab</t>
  </si>
  <si>
    <r>
      <rPr>
        <sz val="11"/>
        <color theme="1"/>
        <rFont val="Calibri"/>
        <family val="2"/>
        <scheme val="minor"/>
      </rPr>
      <t xml:space="preserve">Institutterne skal præsentere en analyse af "afvigelser" (undtagelser til backtesting i overensstemmelse med artikel 366 i CRR) i backtestede resultater </t>
    </r>
    <r>
      <rPr>
        <i/>
        <sz val="11"/>
        <color theme="1"/>
        <rFont val="Calibri"/>
        <family val="2"/>
        <scheme val="minor"/>
      </rPr>
      <t>og specificere datoerne og det dertil svarende overskud (VaR-gevinst og tab), herunder mindst de vigtigste faktorer bag undtagelserne, med lignende sammenligninger for faktisk gevinst og tab og hypotetisk gevinst og tab (i overensstemmelse med artikel 366 i CRR).</t>
    </r>
  </si>
  <si>
    <t>Oplysninger om faktiske gevinster/tab og i særdeleshed en præcisering af, om de omfatter reserver og, hvis ikke, hvordan reserverne integreres i backtestingprocessen.</t>
  </si>
  <si>
    <t xml:space="preserve"> Skema EU OR1 - Kapitalgrundlagskrav for operationel risiko og risikovægtede eksponeringer</t>
  </si>
  <si>
    <t>Bankaktiviteter</t>
  </si>
  <si>
    <t>Relevant indikator</t>
  </si>
  <si>
    <t>Own funds</t>
  </si>
  <si>
    <t>Total operational risk-weighted exposure amount</t>
  </si>
  <si>
    <t>År-3</t>
  </si>
  <si>
    <t>År-2</t>
  </si>
  <si>
    <t>Foregående år</t>
  </si>
  <si>
    <t>requirement</t>
  </si>
  <si>
    <t>Bankaktiviteter omfattet af basisindikatormetoden (BIA)</t>
  </si>
  <si>
    <t>Bankaktiviteter omfattet af standardmetoden (TSA)/ den alternative standardmetode (ASA)</t>
  </si>
  <si>
    <t>OMFATTET AF TSA:</t>
  </si>
  <si>
    <t>OMFATTET AF ASA:</t>
  </si>
  <si>
    <t>Bankaktiviteter omfattet af avancerede målemetoder (AMA)</t>
  </si>
  <si>
    <t xml:space="preserve">Skema EU REM1 – Aflønning tildelt i løbet af regnskabsåret </t>
  </si>
  <si>
    <t>Ledelsesorganet i dets tilsynsfunktion</t>
  </si>
  <si>
    <t xml:space="preserve">Ledelsesorganet i dets ledelsesfunktion </t>
  </si>
  <si>
    <t>Andre medarbejdere i den øverste ledelse</t>
  </si>
  <si>
    <t>Andre identificerede medarbejdere</t>
  </si>
  <si>
    <t>Fast aflønning</t>
  </si>
  <si>
    <t>Antal identificerede medarbejdere</t>
  </si>
  <si>
    <t>Fast aflønning i alt</t>
  </si>
  <si>
    <t>Heraf: kontantbaseret</t>
  </si>
  <si>
    <t>(Ikke relevant i EU)</t>
  </si>
  <si>
    <t>EU-4a</t>
  </si>
  <si>
    <t>Heraf: aktier eller tilsvarende ejerskabsinteresser</t>
  </si>
  <si>
    <t xml:space="preserve">Heraf: instrumenter baseret på aktier eller tilsvarende ikkelikvide instrumenter </t>
  </si>
  <si>
    <t>EU-5x</t>
  </si>
  <si>
    <t>Heraf: andre instrumenter</t>
  </si>
  <si>
    <t>Heraf: andre former</t>
  </si>
  <si>
    <t>Variabel aflønning</t>
  </si>
  <si>
    <t>Variabel aflønning i alt</t>
  </si>
  <si>
    <t>Heraf: udskudt</t>
  </si>
  <si>
    <t>EU-13a</t>
  </si>
  <si>
    <t>EU-14a</t>
  </si>
  <si>
    <t>EU-13b</t>
  </si>
  <si>
    <t>EU-14b</t>
  </si>
  <si>
    <t>EU-14x</t>
  </si>
  <si>
    <t>EU-14y</t>
  </si>
  <si>
    <t>Aflønning i alt (2 + 10)</t>
  </si>
  <si>
    <t>Skema EU REM2 – Særlige betalinger til medarbejdere, hvis arbejde har væsentlig indflydelse på instituttets risikoprofil (identificerede medarbejdere)</t>
  </si>
  <si>
    <t xml:space="preserve">Tildeling af garanteret variabel aflønning </t>
  </si>
  <si>
    <t>Tildeling af garanteret variabel aflønning — antal identificerede medarbejdere</t>
  </si>
  <si>
    <t>Tildeling af garanteret variabel aflønning — samlet beløb</t>
  </si>
  <si>
    <t>Heraf tildelt garanteret variabel aflønning, udbetalt i løbet af regnskabsåret, som ikke er omfattet af bonusloftet</t>
  </si>
  <si>
    <t>Fratrædelsesgodtgørelser tildelt i forudgående perioder, som er blevet udbetalt i løbet af regnskabsåret</t>
  </si>
  <si>
    <t>Fratrædelsesgodtgørelser tildelt i forudgående perioder, som er blevet udbetalt i løbet af regnskabsåret — antal identificerede medarbejdere</t>
  </si>
  <si>
    <t>Fratrædelsesgodtgørelser tildelt i forudgående perioder, som er blevet udbetalt i løbet af regnskabsåret — samlet beløb</t>
  </si>
  <si>
    <t>Fratrædelsesgodtgørelser tildelt i løbet af regnskabsåret</t>
  </si>
  <si>
    <t>Fratrædelsesgodtgørelser tildelt i løbet af regnskabsåret — antal identificerede medarbejdere</t>
  </si>
  <si>
    <t>Fratrædelsesgodtgørelser tildelt i løbet af regnskabsåret — samlet beløb</t>
  </si>
  <si>
    <t xml:space="preserve">Heraf udbetalt i løbet af regnskabsåret </t>
  </si>
  <si>
    <t>Heraf udskudt</t>
  </si>
  <si>
    <t>Heraf fratrædelsesgodtgørelser udbetalt i løbet af regnskabsåret, som ikke er omfattet af bonusloftet</t>
  </si>
  <si>
    <t>Heraf det højeste beløb, der er udbetalt til en enkelt person</t>
  </si>
  <si>
    <t xml:space="preserve">Skema EU REM3 – Udskudt aflønning </t>
  </si>
  <si>
    <t>EU - g</t>
  </si>
  <si>
    <t>EU - h</t>
  </si>
  <si>
    <t>Udskudt og tilbageholdt aflønning</t>
  </si>
  <si>
    <t>Samlet udskudt aflønning tildelt for tidligere optjeningsperioder</t>
  </si>
  <si>
    <t xml:space="preserve">
Den del, der optjenes i regnskabsåret</t>
  </si>
  <si>
    <t xml:space="preserve">
Den del, der optjenes i de efterfølgende regnskabsår</t>
  </si>
  <si>
    <t>Resultatjusteringer foretaget i regnskabsåret for udskudt aflønning, som blev optjent i regnskabsåret</t>
  </si>
  <si>
    <t>Resultatjusteringer foretaget i regnskabsåret for udskudt aflønning, som optjenes i de kommende optjeningsår</t>
  </si>
  <si>
    <t>Samlet justering i løbet af regnskabsåret som følge af efterfølgende implicitte justeringer (dvs. ændringer i værdien for udskudt aflønning som følge af ændringer i priser på instrumenter)</t>
  </si>
  <si>
    <t xml:space="preserve">Samlet udskudt aflønning tildelt inden regnskabsåret, som er blevet udbetalt i regnskabsåret </t>
  </si>
  <si>
    <t>Samlet udskudt aflønning tildelt for tidligere optjeningsperioder, som er optjent, men omfattet af tilbageholdelsesperioder</t>
  </si>
  <si>
    <t>Kontantbaseret</t>
  </si>
  <si>
    <t xml:space="preserve">
Aktier eller tilsvarende ejerskabsinteresser</t>
  </si>
  <si>
    <t xml:space="preserve">Instrumenter baseret på aktier eller tilsvarende ikkelikvide instrumenter </t>
  </si>
  <si>
    <t>Andre instrumenter</t>
  </si>
  <si>
    <t>Andre former</t>
  </si>
  <si>
    <t>Ledelsesorganet i dets ledelsesfunktion</t>
  </si>
  <si>
    <t>Samlet beløb</t>
  </si>
  <si>
    <t>Skema EU REM4 – Aflønning på 1 mio. EUR eller derover pr. regnskabsår</t>
  </si>
  <si>
    <t>EUR</t>
  </si>
  <si>
    <t>Identificerede højtlønnede medarbejdere, jf. artikel 450, litra i), i CRR</t>
  </si>
  <si>
    <t>1 000 000 til under 1 500 000</t>
  </si>
  <si>
    <t>1 500 000 til under 2 000 000</t>
  </si>
  <si>
    <t>2 000 000 til under 2 500 000</t>
  </si>
  <si>
    <t>2 500 000 til under 3 000 000</t>
  </si>
  <si>
    <t>3 000 000 til under 3 500 000</t>
  </si>
  <si>
    <t>3 500 000 til under 4 000 000</t>
  </si>
  <si>
    <t>4 000 000 til under 4 500 000</t>
  </si>
  <si>
    <t>4 500 000 til under 5 000 000</t>
  </si>
  <si>
    <t>5 000 000 til under 6 000 000</t>
  </si>
  <si>
    <t>6 000 000 til under 7 000 000</t>
  </si>
  <si>
    <t>7 000 000 til under 8 000 000</t>
  </si>
  <si>
    <t>Kan udvides, hvis der er behov for flere lønrammer.</t>
  </si>
  <si>
    <t>Skema REM5 – Oplysninger om aflønning af medarbejdere, hvis arbejde har væsentlig indflydelse på instituttets risikoprofil (identificerede medarbejdere)</t>
  </si>
  <si>
    <t>Aflønning af ledelsesorgan</t>
  </si>
  <si>
    <t>Forretningsområder</t>
  </si>
  <si>
    <t>Ledelsesorgan, i alt</t>
  </si>
  <si>
    <t>Detailbankydelser</t>
  </si>
  <si>
    <t>Forvaltning af aktiver</t>
  </si>
  <si>
    <t>Forretningsfunktioner</t>
  </si>
  <si>
    <t>Alle andre</t>
  </si>
  <si>
    <t>Samlet antal identificerede medarbejdere</t>
  </si>
  <si>
    <t>Heraf: medlemmer af ledelsesorganet</t>
  </si>
  <si>
    <t>Heraf: andre medarbejdere i den øverste ledelse</t>
  </si>
  <si>
    <t>Heraf: andre identificerede medarbejdere</t>
  </si>
  <si>
    <t>Samlet aflønning af identificerede medarbejdere</t>
  </si>
  <si>
    <t xml:space="preserve">Heraf: variabel aflønning </t>
  </si>
  <si>
    <t xml:space="preserve">Heraf: fast aflønning </t>
  </si>
  <si>
    <t>Skema EU AE1 - Behæftede og ubehæftede aktiver</t>
  </si>
  <si>
    <t>Regnskabsmæssig værdi af behæftede aktiver</t>
  </si>
  <si>
    <t>Dagsværdi af behæftede aktiver</t>
  </si>
  <si>
    <t>Regnskabsmæssig værdi af ubehæftede aktiver</t>
  </si>
  <si>
    <t>Dagsværdi af ubehæftede aktiver</t>
  </si>
  <si>
    <t>heraf aktiver, der i ubehæftet stand ville kunne klassificeres som EHQLA'er og HQLA'er</t>
  </si>
  <si>
    <t>heraf EHQLA'er og HQLA'er</t>
  </si>
  <si>
    <t>Det oplysende instituts aktiver</t>
  </si>
  <si>
    <t>heraf: særligt dækkede obligationer og særligt dækkede realkreditobligationer</t>
  </si>
  <si>
    <t>heraf: securitiseringer</t>
  </si>
  <si>
    <t>heraf: udstedt af offentlig forvaltning og service</t>
  </si>
  <si>
    <t>heraf: udstedt af finansielle selskaber</t>
  </si>
  <si>
    <t>heraf: udstedt af ikkefinansielle selskaber</t>
  </si>
  <si>
    <t>Andre aktiver</t>
  </si>
  <si>
    <t>Skema EU AE2 - Modtaget sikkerhedsstillelse og egne udstedte gældsværdipapirer</t>
  </si>
  <si>
    <t>Dagsværdi af behæftede modtagne sikkerheder eller egne udstedte gældsværdipapirer</t>
  </si>
  <si>
    <t>Ubehæftede</t>
  </si>
  <si>
    <t>Dagsværdi af modtagne sikkerheder eller egne udstedte gældsværdipapirer, som kan behæftes</t>
  </si>
  <si>
    <t>Sikkerheder modtaget af det oplysende institut</t>
  </si>
  <si>
    <t>Lån på anfordring</t>
  </si>
  <si>
    <t>Lån og forskud, bortset fra lån på anfordring</t>
  </si>
  <si>
    <t>230</t>
  </si>
  <si>
    <t>Andre modtagne sikkerheder</t>
  </si>
  <si>
    <t>240</t>
  </si>
  <si>
    <t>Egne udstedte gældsværdipapirer, bortset fra egne særligt dækkede obligationer og særligt dækkede realkreditobligationer eller securitiseringer</t>
  </si>
  <si>
    <t xml:space="preserve"> Egne særligt dækkede obligationer og særligt dækkede realkreditobligationer og securitiseringer, som er udstedt og endnu ikke er stillet som pant.</t>
  </si>
  <si>
    <t xml:space="preserve">SAMLET MODTAGET SIKKERHEDSSTILLELSE OG EGNE UDSTEDTE GÆLDSVÆRDIPAPIRER </t>
  </si>
  <si>
    <t>Skema EU AE3 – Behæftelseskilder</t>
  </si>
  <si>
    <t>Modsvarende forpligtelser, eventualforpligtelser eller udlånte værdipapirer</t>
  </si>
  <si>
    <t>Regnskabsmæssig værdi af udvalgte finansielle forpligtelser</t>
  </si>
  <si>
    <t>Fynske Bank A/S</t>
  </si>
  <si>
    <t>Ejendomsselskabet Centrumpladsen ApS</t>
  </si>
  <si>
    <t>Ejendomsselskabet Trindholmsgade ApS</t>
  </si>
  <si>
    <t>Leasing Fyn Svendborg A/S</t>
  </si>
  <si>
    <t>Ejendomsselskab</t>
  </si>
  <si>
    <t>Leasingselskab</t>
  </si>
  <si>
    <t>Side</t>
  </si>
  <si>
    <t>Indholdsfortegnelse</t>
  </si>
  <si>
    <t>Samlede kapitalgrundlags-krav</t>
  </si>
  <si>
    <t>AVA på kategoriniveau —Værdiansættelses-usikkerhed</t>
  </si>
  <si>
    <t>Samlet værdi på kategori-niveau efter diversificering</t>
  </si>
  <si>
    <t>AVA for investerings- og finansierings-omkostninger</t>
  </si>
  <si>
    <r>
      <rPr>
        <sz val="8"/>
        <color theme="1"/>
        <rFont val="Arial"/>
        <family val="2"/>
      </rPr>
      <t xml:space="preserve">Heraf: </t>
    </r>
    <r>
      <rPr>
        <b/>
        <sz val="8"/>
        <color rgb="FF000000"/>
        <rFont val="Arial"/>
        <family val="2"/>
      </rPr>
      <t>Samlet kerne-metode</t>
    </r>
    <r>
      <rPr>
        <sz val="8"/>
        <color rgb="FF000000"/>
        <rFont val="Arial"/>
        <family val="2"/>
      </rPr>
      <t xml:space="preserve"> i handelsbe-holdningen</t>
    </r>
  </si>
  <si>
    <r>
      <rPr>
        <sz val="8"/>
        <color theme="1"/>
        <rFont val="Arial"/>
        <family val="2"/>
      </rPr>
      <t xml:space="preserve">Heraf: </t>
    </r>
    <r>
      <rPr>
        <b/>
        <sz val="8"/>
        <color rgb="FF000000"/>
        <rFont val="Arial"/>
        <family val="2"/>
      </rPr>
      <t>Samlet kernemetode</t>
    </r>
    <r>
      <rPr>
        <sz val="8"/>
        <color rgb="FF000000"/>
        <rFont val="Arial"/>
        <family val="2"/>
      </rPr>
      <t xml:space="preserve"> i anlægsbehold-ningen</t>
    </r>
  </si>
  <si>
    <t>Fremtidige administrations-omkostninger</t>
  </si>
  <si>
    <t>Akkumu-lerede delvise afskrivninger</t>
  </si>
  <si>
    <t>På ikkemislig-holdte ekspo-neringer</t>
  </si>
  <si>
    <t>På mislig-holdte ekspo-neringer</t>
  </si>
  <si>
    <t>Heraf mislig-holdte</t>
  </si>
  <si>
    <t>Heraf værdi-forringede</t>
  </si>
  <si>
    <t>Ikke forfaldne eller forfaldne  ≤ 30 dage</t>
  </si>
  <si>
    <t>Heraf ekspo-neringer, der testes for værdifor-ringelse</t>
  </si>
  <si>
    <t>Akkumuleret værdi-forringelse</t>
  </si>
  <si>
    <t>Heraf forfaldne  &gt; 30 dage ≤ 90 dage</t>
  </si>
  <si>
    <t>Heraf forfaldne  &gt; 90 dage ≤ 180 dage</t>
  </si>
  <si>
    <t>Heraf: forfaldne  &gt; 180 dage ≤ 1 år</t>
  </si>
  <si>
    <t>Heraf: forfaldne  &gt; 7 år</t>
  </si>
  <si>
    <t>Ikkebalance-førte eksponeringer inden anvendelse af kreditkon-verterings-faktorer</t>
  </si>
  <si>
    <t>Eksponerings-vægtet gennemsnitlig kreditkonver-teringsfaktor</t>
  </si>
  <si>
    <t>Eksponeringer efter konverterings-faktorer og efter kreditrisikoreduk-tionsteknikker</t>
  </si>
  <si>
    <t>Eksponerings-vægtet gennemsnitlig PD (%)</t>
  </si>
  <si>
    <t>Eksponerings-vægtet gennemsnitlig LGD (%)</t>
  </si>
  <si>
    <t>Eksponerings-vægtet gennemsnitlig løbetid (år)</t>
  </si>
  <si>
    <t>Værdijust-eringer og hensættelser</t>
  </si>
  <si>
    <t>Faktisk forventet positiv ekspo-nering</t>
  </si>
  <si>
    <t>Alfa anvendt til beregning af en regulerings-mæssig eksponerings-værdi</t>
  </si>
  <si>
    <t>Eksponerings-værdi inden anvendelse af kreditrisikore-duktions-teknikker</t>
  </si>
  <si>
    <t>Eksponerings-værdi efter anvendelse af kreditrisikore-duktionsteknikker</t>
  </si>
  <si>
    <t>Eksponerings-værdi</t>
  </si>
  <si>
    <t>Eksponerings-vægtet gennemsnit-lig PD (%)</t>
  </si>
  <si>
    <t>Eksponerings-vægtet gennemsnit-lig LGD (%)</t>
  </si>
  <si>
    <t>Eksponerings-vægtet gennemsnit-lig løbetid (år)</t>
  </si>
  <si>
    <t>Kapitalgrundlags-krav</t>
  </si>
  <si>
    <t>Investerings-bankvirksom-hed</t>
  </si>
  <si>
    <t>Uafhængige interne kontrolfunk-tioner</t>
  </si>
  <si>
    <t>Aktiver, modtagne sikkerheder og egne udstedte gældsværdipapirer, bortset fra særligt dækkede obligationer og særligt dækkede realkredit-obligationer og behæftede securitiseringer</t>
  </si>
  <si>
    <t>EU OV1</t>
  </si>
  <si>
    <t>EU KM1</t>
  </si>
  <si>
    <t>EU INS1</t>
  </si>
  <si>
    <t>EU INS2</t>
  </si>
  <si>
    <t>EU LI1</t>
  </si>
  <si>
    <t>EU LI2</t>
  </si>
  <si>
    <t>EU LI3</t>
  </si>
  <si>
    <t>EU PV1</t>
  </si>
  <si>
    <t>EU CC1</t>
  </si>
  <si>
    <t>EU CC2</t>
  </si>
  <si>
    <t>EU-CCyB1</t>
  </si>
  <si>
    <t>EU-CCyB2</t>
  </si>
  <si>
    <t>EU LR1</t>
  </si>
  <si>
    <t>EU LR2</t>
  </si>
  <si>
    <t>EU LR3</t>
  </si>
  <si>
    <t>EU LIQ1</t>
  </si>
  <si>
    <t>EU LIQ2</t>
  </si>
  <si>
    <t xml:space="preserve">EU CR1 </t>
  </si>
  <si>
    <t>EU CR1-A</t>
  </si>
  <si>
    <t xml:space="preserve">EU CR2 </t>
  </si>
  <si>
    <t>EU CR2a</t>
  </si>
  <si>
    <t xml:space="preserve">EU CQ1 </t>
  </si>
  <si>
    <t xml:space="preserve">EU CQ2 </t>
  </si>
  <si>
    <t xml:space="preserve">EU CQ3 </t>
  </si>
  <si>
    <t xml:space="preserve">EU CQ4 </t>
  </si>
  <si>
    <t xml:space="preserve">EU CQ5 </t>
  </si>
  <si>
    <t xml:space="preserve">EU CQ6 </t>
  </si>
  <si>
    <t xml:space="preserve">EU CQ7 </t>
  </si>
  <si>
    <t xml:space="preserve">EU CQ8 </t>
  </si>
  <si>
    <t xml:space="preserve">EU CR3 </t>
  </si>
  <si>
    <t/>
  </si>
  <si>
    <t xml:space="preserve">EU CR4 </t>
  </si>
  <si>
    <t xml:space="preserve">EU CR5 </t>
  </si>
  <si>
    <t xml:space="preserve">EU CR6 </t>
  </si>
  <si>
    <t>EU CR6-A</t>
  </si>
  <si>
    <t xml:space="preserve">EU CR7 </t>
  </si>
  <si>
    <t>EU CR7-A</t>
  </si>
  <si>
    <t xml:space="preserve">EU CR8 </t>
  </si>
  <si>
    <t xml:space="preserve">EU CR9 </t>
  </si>
  <si>
    <t>EU CR9.1</t>
  </si>
  <si>
    <t>EU CR10</t>
  </si>
  <si>
    <t>EU CCR1</t>
  </si>
  <si>
    <t>EU CCR2</t>
  </si>
  <si>
    <t>EU CCR3</t>
  </si>
  <si>
    <t>EU CCR4</t>
  </si>
  <si>
    <t>EU CCR5</t>
  </si>
  <si>
    <t>EU CCR6</t>
  </si>
  <si>
    <t>EU CCR7</t>
  </si>
  <si>
    <t>EU CCR8</t>
  </si>
  <si>
    <t>EU-SEC1</t>
  </si>
  <si>
    <t>EU-SEC2</t>
  </si>
  <si>
    <t>EU-SEC3</t>
  </si>
  <si>
    <t>EU-SEC4</t>
  </si>
  <si>
    <t>EU-SEC5</t>
  </si>
  <si>
    <t xml:space="preserve">EU MR1 </t>
  </si>
  <si>
    <t>EU MR2-A</t>
  </si>
  <si>
    <t>EU MR2-B</t>
  </si>
  <si>
    <t xml:space="preserve">EU MR3 </t>
  </si>
  <si>
    <t xml:space="preserve">EU MR4 </t>
  </si>
  <si>
    <t xml:space="preserve">EU OR1 </t>
  </si>
  <si>
    <t>EU REM1</t>
  </si>
  <si>
    <t>EU REM2</t>
  </si>
  <si>
    <t>EU REM3</t>
  </si>
  <si>
    <t>EU REM4</t>
  </si>
  <si>
    <t>EU REM5</t>
  </si>
  <si>
    <t xml:space="preserve">EU AE1 </t>
  </si>
  <si>
    <t xml:space="preserve">EU AE2 </t>
  </si>
  <si>
    <t xml:space="preserve">EU AE3 </t>
  </si>
  <si>
    <t>Oversigt over samlede risikoeksponeringer</t>
  </si>
  <si>
    <t>Skema om væsentlige målekriterier</t>
  </si>
  <si>
    <t>Forsikringsinteresser</t>
  </si>
  <si>
    <t>Finansielle konglomerater — Oplysninger om kapitalgrundlag og kapitalprocent</t>
  </si>
  <si>
    <t xml:space="preserve">Forskelle mellem de regnskabsmæssige rammer og rammerne for tilsynsmæssig konsolidering og sammenstilling af regnskabskategorierne og lovmæssigt fastsatte risikokategorier </t>
  </si>
  <si>
    <t xml:space="preserve">Primære kilder til forskelle mellem de tilsynsmæssige eksponeringsbeløb og regnskabsmæssige værdier </t>
  </si>
  <si>
    <t xml:space="preserve">Skitsering af forskellene i konsolideringens omfang (enhed for enhed) </t>
  </si>
  <si>
    <t>Justeringer som følge af forsigtig værdiansættelse (PVA)</t>
  </si>
  <si>
    <t>Sammensætning af lovpligtigt kapitalgrundlag</t>
  </si>
  <si>
    <t>Afstemning mellem lovbestemt kapitalgrundlag og balancen i de reviderede regnskaber</t>
  </si>
  <si>
    <t>Geografisk fordeling af krediteksponeringer, der er relevante for beregningen af den kontracykliske kapitalbuffer</t>
  </si>
  <si>
    <t>Størrelsen af den institutspecifikke kontracykliske kapitalbuffer</t>
  </si>
  <si>
    <t>Afstemning mellem regnskabsmæssige aktiver og gearingsgradrelevante eksponeringer — oversigt</t>
  </si>
  <si>
    <t>Oplysninger om gearingsgrad — fælles regler</t>
  </si>
  <si>
    <t>Opdeling af balanceførte eksponeringer (ekskl. derivater, SFT'er og ikke medregnede eksponeringer)</t>
  </si>
  <si>
    <t>Kvantitative oplysninger om likviditetsdækningsgrad</t>
  </si>
  <si>
    <t xml:space="preserve">Net stable funding ratio </t>
  </si>
  <si>
    <t xml:space="preserve">Ikkemisligholdte og misligholdte eksponeringer og dertil knyttede bestemmelser. </t>
  </si>
  <si>
    <t>Løbetid på eksponeringer</t>
  </si>
  <si>
    <t>Ændringer i beholdningen af misligholdte lån og forskud</t>
  </si>
  <si>
    <t>Ændringer i beholdningen af misligholdte lån og forskud og akkumulerede inddrevne nettobeløb i forbindelse hermed</t>
  </si>
  <si>
    <t>Kreditkvalitet af eksponeringer med kreditlempelser</t>
  </si>
  <si>
    <t>Kvalitet af kreditlempelser</t>
  </si>
  <si>
    <t>Kreditkvalitet af ikkemisligholdte og misligholdte eksponeringer efter forfaldsdage</t>
  </si>
  <si>
    <t>Kvaliteten af misligholdte eksponeringer efter geografisk placering </t>
  </si>
  <si>
    <t>Kreditkvalitet af lån og forskud til ikkefinansielle selskaber efter branche</t>
  </si>
  <si>
    <t xml:space="preserve">Værdiansættelse af sikkerhedsstillelse - lån og forskud </t>
  </si>
  <si>
    <t xml:space="preserve">Sikkerhedsstillelse opnået gennem overtagelse og fuldbyrdelsesprocesser </t>
  </si>
  <si>
    <t>Sikkerhedsstillelse opnået gennem overtagelse og fuldbyrdelsesprocesser – opdeling efter årgang</t>
  </si>
  <si>
    <t>Overblik over kreditrisikoreduktionsteknikker  Offentliggørelse af anvendelsen af kreditrisikoreduktionsteknikker</t>
  </si>
  <si>
    <t>Standardmetode — Kreditrisikoeksponering og virkninger af kreditrisikoreduktionsteknikker</t>
  </si>
  <si>
    <t>Standardmetode</t>
  </si>
  <si>
    <t>IRB-metoden — kreditrisikoeksponeringer efter eksponeringsklasse og PD-interval</t>
  </si>
  <si>
    <t>IRB-metoden – anvendelsesområdet for IRB-metoden og SA-metoden</t>
  </si>
  <si>
    <t>IRB-metoden – Virkning af kreditderivater anvendt som CRM-teknikker på de risikovægtede eksponeringer</t>
  </si>
  <si>
    <t>IRB-metoden – Offentliggørelse af omfanget af anvendelsen af kreditrisikoreduktionsteknikker</t>
  </si>
  <si>
    <t xml:space="preserve">RWEA-flowtabeller for kreditrisikoeksponeringer i henhold til IRB-metoden. </t>
  </si>
  <si>
    <t>IRB-metoden – Back-testing af PD efter eksponeringsklasse. (fastsat PD-skala)</t>
  </si>
  <si>
    <t>IRB metoden – Back-testing af PD efter eksponeringsklasse (kun for PD-estimater i henhold til artikel 180, stk. 1, litra f), i CRR)</t>
  </si>
  <si>
    <t>Specialiseret långivning og aktieeksponeringer i henhold til den forenklede risikovægtningsmetode</t>
  </si>
  <si>
    <t>Analyse af modpartskreditrisikoeksponeringer efter metode</t>
  </si>
  <si>
    <t>Transaktioner underlagt kapitalgrundlagskrav for kreditværdijusteringsrisiko</t>
  </si>
  <si>
    <t>Standardmetoden — modpartskreditrisikoeksponeringer efter eksponeringsklasse og risikovægte</t>
  </si>
  <si>
    <t>IRB-metoden — modpartskreditrisikoeksponeringer efter eksponeringsklasse og PD-skala</t>
  </si>
  <si>
    <t>Sammensætning af sikkerhedsstillelse for modpartskreditrisikoeksponeringer</t>
  </si>
  <si>
    <t>Eksponering for kreditderivater</t>
  </si>
  <si>
    <t>RWEA-flowtabeller for markedsrisikoeksponeringer i henhold til IMM</t>
  </si>
  <si>
    <t>Modpartskreditrisikoeksponeringer</t>
  </si>
  <si>
    <t>Securitiseringseksponeringer uden for handelsbeholdningen</t>
  </si>
  <si>
    <t>Securitiseringseksponeringer i handelsbeholdningen</t>
  </si>
  <si>
    <t>Securitiseringseksponeringer uden for handelsbeholdningen og tilknyttede lovbestemte kapitalkrav - instituttet optræder som eksponeringsleverende eller organiserende institut</t>
  </si>
  <si>
    <t>Securitiseringseksponeringer uden for handelsbeholdningen og tilknyttede lovpligtige kapitalkrav - instituttet optræder som investorinstitut</t>
  </si>
  <si>
    <t>Eksponeringer securitiseret af instituttet - Misligholdte eksponeringer og specifikke kreditrisikojusteringer</t>
  </si>
  <si>
    <t>Markedsrisiko i henhold til standardmetoden</t>
  </si>
  <si>
    <t>Markedsrisiko i henhold til metoden med interne modeller (IMA)</t>
  </si>
  <si>
    <t>RWEA-flowtabeller for markedsrisikoeksponeringer i henhold til IMA</t>
  </si>
  <si>
    <t>IMA-værdier for handelsporteføljer</t>
  </si>
  <si>
    <t>Sammenligning af VaR-estimater med gevinster/tab</t>
  </si>
  <si>
    <t>Kapitalgrundlagskrav for operationel risiko og risikovægtede eksponeringer</t>
  </si>
  <si>
    <t xml:space="preserve">Aflønning tildelt i løbet af regnskabsåret </t>
  </si>
  <si>
    <t>Særlige betalinger til medarbejdere, hvis arbejde har væsentlig indflydelse på instituttets risikoprofil (identificerede medarbejdere)</t>
  </si>
  <si>
    <t xml:space="preserve">Udskudt aflønning </t>
  </si>
  <si>
    <t>Aflønning på 1 mio. EUR eller derover pr. regnskabsår</t>
  </si>
  <si>
    <t>Oplysninger om aflønning af medarbejdere, hvis arbejde har væsentlig indflydelse på instituttets risikoprofil (identificerede medarbejdere)</t>
  </si>
  <si>
    <t>Behæftede og ubehæftede aktiver</t>
  </si>
  <si>
    <t>Modtaget sikkerhedsstillelse og egne udstedte gældsværdipapirer</t>
  </si>
  <si>
    <t>Behæftelseskilder</t>
  </si>
  <si>
    <t>omfattet af modpartskreditrisiko</t>
  </si>
  <si>
    <t>omfattet af kreditrisiko</t>
  </si>
  <si>
    <t>omfattet af securitisering</t>
  </si>
  <si>
    <t>omfattet af markedsrisiko</t>
  </si>
  <si>
    <t>Heraf: kontantbaseret *)</t>
  </si>
  <si>
    <t>(DKK 1.000)</t>
  </si>
  <si>
    <t>Nedenstående skemaer vurderes ikke relevante for Fynske Bank.</t>
  </si>
  <si>
    <t>Balance som i de offentliggjorte regnskaber og under tilsynsmæssig ramme for konsolidering</t>
  </si>
  <si>
    <t>A</t>
  </si>
  <si>
    <t>A (Ref. EU-CC2)</t>
  </si>
  <si>
    <t>B (Ref. EU-CC2)</t>
  </si>
  <si>
    <t>B</t>
  </si>
  <si>
    <t>C</t>
  </si>
  <si>
    <t>C (Ref. EU-CC2)</t>
  </si>
  <si>
    <t>Overført resultat , primo</t>
  </si>
  <si>
    <t>Årets overskud fratrukket udbytte</t>
  </si>
  <si>
    <t>D</t>
  </si>
  <si>
    <t>D (Ref. EU-CC2)</t>
  </si>
  <si>
    <t>Udnyttet del af ramme til anskaffelse af egne aktier</t>
  </si>
  <si>
    <t>Anvendelsesområdet</t>
  </si>
  <si>
    <t>Likviditetskrav</t>
  </si>
  <si>
    <t>Eksponeringer mod kreditrisiko, udvandingsrisiko og kreditkvalitet</t>
  </si>
  <si>
    <t>Anvendelsen af kreditrisikoreduktionsteknikker</t>
  </si>
  <si>
    <t>Anvendelsen af standardmetoden</t>
  </si>
  <si>
    <t>Eksponeringer mod modpartskreditrisiko</t>
  </si>
  <si>
    <t>Anvendelsen af standardmetoden for markedsrisiko</t>
  </si>
  <si>
    <t>Aflønningspolitik</t>
  </si>
  <si>
    <r>
      <t>Kilde baseret på referencenumre/-bogstaver i balancen i henhold til den tilsynsmæssige ramme for konsolideringen</t>
    </r>
    <r>
      <rPr>
        <sz val="11"/>
        <color theme="0"/>
        <rFont val="Calibri"/>
        <family val="2"/>
        <scheme val="minor"/>
      </rPr>
      <t> </t>
    </r>
  </si>
  <si>
    <r>
      <rPr>
        <sz val="11"/>
        <color theme="1"/>
        <rFont val="Calibri"/>
        <family val="2"/>
        <scheme val="minor"/>
      </rPr>
      <t>Udskudte skatteaktiver, som skyldes midlertidige forskelle (beløb over tærsklen på 10 %, fratrukket tilknyttede skatteforpligtelser, hvis betingelserne i artikel 38, stk. 3, i CRR er opfyldt) (negativt beløb)</t>
    </r>
  </si>
  <si>
    <r>
      <rPr>
        <sz val="11"/>
        <color theme="1"/>
        <rFont val="Calibri"/>
        <family val="2"/>
        <scheme val="minor"/>
      </rPr>
      <t>Kvalificerede fradrag i hybrid kernekapital, der overstiger instituttets hybride kernekapitalposter (negativt beløb)</t>
    </r>
  </si>
  <si>
    <r>
      <rPr>
        <sz val="11"/>
        <color theme="1"/>
        <rFont val="Calibri"/>
        <family val="2"/>
        <scheme val="minor"/>
      </rPr>
      <t>Andre lovpligtige justeringer</t>
    </r>
  </si>
  <si>
    <r>
      <rPr>
        <sz val="11"/>
        <color theme="1"/>
        <rFont val="Calibri"/>
        <family val="2"/>
        <scheme val="minor"/>
      </rPr>
      <t>Kvalificerede fradrag i supplerende kapital, der overstiger instituttets supplerende kapitalposter (negativt beløb)</t>
    </r>
  </si>
  <si>
    <r>
      <rPr>
        <sz val="11"/>
        <color theme="1"/>
        <rFont val="Calibri"/>
        <family val="2"/>
        <scheme val="minor"/>
      </rPr>
      <t>EU-56a</t>
    </r>
    <r>
      <rPr>
        <sz val="11"/>
        <color rgb="FF000000"/>
        <rFont val="Calibri"/>
        <family val="2"/>
        <scheme val="minor"/>
      </rPr>
      <t> </t>
    </r>
  </si>
  <si>
    <r>
      <rPr>
        <sz val="11"/>
        <color theme="1"/>
        <rFont val="Calibri"/>
        <family val="2"/>
        <scheme val="minor"/>
      </rPr>
      <t>Ikke relevant</t>
    </r>
  </si>
  <si>
    <r>
      <rPr>
        <sz val="11"/>
        <color theme="1"/>
        <rFont val="Calibri"/>
        <family val="2"/>
        <scheme val="minor"/>
      </rPr>
      <t>Direkte og indirekte besiddelser af kapitalgrundlag og nedskrivningsrelevante passiver i enheder i den finansielle sektor, når instituttet ikke har væsentlige investeringer i disse enheder (beløb under tærsklen på 10 % og fratrukket anerkendte korte positioner)</t>
    </r>
    <r>
      <rPr>
        <sz val="11"/>
        <color rgb="FF000000"/>
        <rFont val="Calibri"/>
        <family val="2"/>
        <scheme val="minor"/>
      </rPr>
      <t xml:space="preserve">   </t>
    </r>
  </si>
  <si>
    <r>
      <rPr>
        <sz val="11"/>
        <color theme="1"/>
        <rFont val="Calibri"/>
        <family val="2"/>
        <scheme val="minor"/>
      </rPr>
      <t>Udskudte skatteaktiver, som skyldes midlertidige forskelle (beløb under tærsklen på 17,65 %, fratrukket tilknyttede skatteforpligtelser, hvis betingelserne i artikel 38, stk. 3, i CRR er opfyldt)</t>
    </r>
  </si>
  <si>
    <r>
      <t>Aktiver</t>
    </r>
    <r>
      <rPr>
        <sz val="11"/>
        <color rgb="FF000000"/>
        <rFont val="Calibri"/>
        <family val="2"/>
        <scheme val="minor"/>
      </rPr>
      <t xml:space="preserve"> — </t>
    </r>
    <r>
      <rPr>
        <i/>
        <sz val="11"/>
        <color rgb="FF000000"/>
        <rFont val="Calibri"/>
        <family val="2"/>
        <scheme val="minor"/>
      </rPr>
      <t>Opdeling efter aktivklasser i overensstemmelse med balancen i de offentliggjorte regnskaber</t>
    </r>
  </si>
  <si>
    <r>
      <t>Passiver</t>
    </r>
    <r>
      <rPr>
        <sz val="11"/>
        <color rgb="FF000000"/>
        <rFont val="Calibri"/>
        <family val="2"/>
        <scheme val="minor"/>
      </rPr>
      <t xml:space="preserve"> — </t>
    </r>
    <r>
      <rPr>
        <i/>
        <sz val="11"/>
        <color rgb="FF000000"/>
        <rFont val="Calibri"/>
        <family val="2"/>
        <scheme val="minor"/>
      </rPr>
      <t>Opdeling efter passivklasser i overensstemmelse med balancen i de offentliggjorte regnskaber</t>
    </r>
  </si>
  <si>
    <t>DKK 1.000</t>
  </si>
  <si>
    <r>
      <rPr>
        <sz val="11"/>
        <color theme="0"/>
        <rFont val="Segoe UI"/>
        <family val="2"/>
      </rPr>
      <t xml:space="preserve">Heraf </t>
    </r>
    <r>
      <rPr>
        <b/>
        <sz val="11"/>
        <color theme="0"/>
        <rFont val="Segoe UI"/>
        <family val="2"/>
      </rPr>
      <t>sikret ved sikkerhedsstillelse</t>
    </r>
    <r>
      <rPr>
        <sz val="11"/>
        <color theme="0"/>
        <rFont val="Segoe UI"/>
        <family val="2"/>
      </rPr>
      <t>:</t>
    </r>
    <r>
      <rPr>
        <b/>
        <sz val="11"/>
        <color theme="0"/>
        <rFont val="Segoe UI"/>
        <family val="2"/>
      </rPr>
      <t xml:space="preserve"> </t>
    </r>
  </si>
  <si>
    <r>
      <rPr>
        <sz val="11"/>
        <color theme="0"/>
        <rFont val="Segoe UI"/>
        <family val="2"/>
      </rPr>
      <t xml:space="preserve">Heraf </t>
    </r>
    <r>
      <rPr>
        <b/>
        <sz val="11"/>
        <color theme="0"/>
        <rFont val="Segoe UI"/>
        <family val="2"/>
      </rPr>
      <t>sikret ved finansielle garantier</t>
    </r>
  </si>
  <si>
    <r>
      <rPr>
        <sz val="11"/>
        <color theme="0"/>
        <rFont val="Segoe UI"/>
        <family val="2"/>
      </rPr>
      <t xml:space="preserve">Heraf </t>
    </r>
    <r>
      <rPr>
        <b/>
        <sz val="11"/>
        <color theme="0"/>
        <rFont val="Segoe UI"/>
        <family val="2"/>
      </rPr>
      <t>sikret ved kreditderivater</t>
    </r>
  </si>
  <si>
    <r>
      <rPr>
        <sz val="11"/>
        <color theme="1"/>
        <rFont val="Calibri"/>
        <family val="2"/>
        <scheme val="minor"/>
      </rPr>
      <t>EU</t>
    </r>
    <r>
      <rPr>
        <sz val="11"/>
        <color rgb="FFFF0000"/>
        <rFont val="Calibri"/>
        <family val="2"/>
        <scheme val="minor"/>
      </rPr>
      <t>-</t>
    </r>
    <r>
      <rPr>
        <sz val="11"/>
        <color rgb="FF000000"/>
        <rFont val="Calibri"/>
        <family val="2"/>
        <scheme val="minor"/>
      </rPr>
      <t>1</t>
    </r>
  </si>
  <si>
    <r>
      <rPr>
        <sz val="11"/>
        <color theme="1"/>
        <rFont val="Calibri"/>
        <family val="2"/>
        <scheme val="minor"/>
      </rPr>
      <t>EU</t>
    </r>
    <r>
      <rPr>
        <sz val="11"/>
        <color rgb="FFFF0000"/>
        <rFont val="Calibri"/>
        <family val="2"/>
        <scheme val="minor"/>
      </rPr>
      <t>-</t>
    </r>
    <r>
      <rPr>
        <sz val="11"/>
        <color rgb="FF000000"/>
        <rFont val="Calibri"/>
        <family val="2"/>
        <scheme val="minor"/>
      </rPr>
      <t>2</t>
    </r>
  </si>
  <si>
    <r>
      <rPr>
        <sz val="11"/>
        <color rgb="FF000000"/>
        <rFont val="Calibri"/>
        <family val="2"/>
        <scheme val="minor"/>
      </rPr>
      <t>Transaktioner underlagt den alternative metode (baseret på den oprindelige eksponeringsmetode)</t>
    </r>
  </si>
  <si>
    <t xml:space="preserve">Eksponeringsværdi i alt </t>
  </si>
  <si>
    <r>
      <rPr>
        <sz val="11"/>
        <color theme="1"/>
        <rFont val="Calibri"/>
        <family val="2"/>
        <scheme val="minor"/>
      </rPr>
      <t>Securitisering (specifik risiko)</t>
    </r>
  </si>
  <si>
    <t>Selskabsoplysninger</t>
  </si>
  <si>
    <t xml:space="preserve">Adresse: </t>
  </si>
  <si>
    <t>Reg.nr.</t>
  </si>
  <si>
    <t xml:space="preserve">CVR-nr. </t>
  </si>
  <si>
    <t xml:space="preserve">LEI-kode: </t>
  </si>
  <si>
    <t xml:space="preserve">Telefon: </t>
  </si>
  <si>
    <t xml:space="preserve">Mail: </t>
  </si>
  <si>
    <t xml:space="preserve">Hjemmeside: </t>
  </si>
  <si>
    <t>Indledning</t>
  </si>
  <si>
    <t>Nærværende rapportering er udarbejdet og opbygget i henhold til søjle III forordningen (EU-Kommissionens gennemførselsforordning (EU) 2021/637), der detaljeret præciserer søjle III-offentliggørelseskravene i CRR-forordningens artikel 431 til 455, samt de tilhørende tekniske standarder og retningslinjer fra EBA. Reglerne i bekendtgørelse om risikoeksponering, kapitalgrundlag og solvensbehov er ligeledes dækket af rapporteringen.</t>
  </si>
  <si>
    <t>Søjle III forordningen indeholder et omfattende sæt af oplysningsskemaer og – tabeller, som specificerer de konkrete offentliggørelseskrav. Der skelnes mellem:</t>
  </si>
  <si>
    <r>
      <t>·</t>
    </r>
    <r>
      <rPr>
        <sz val="12"/>
        <color theme="1"/>
        <rFont val="Times New Roman"/>
        <family val="1"/>
      </rPr>
      <t xml:space="preserve">         </t>
    </r>
    <r>
      <rPr>
        <sz val="12"/>
        <color theme="1"/>
        <rFont val="Calibri"/>
        <family val="2"/>
        <scheme val="minor"/>
      </rPr>
      <t>Skemaer (kvantitative krav – taloplysninger)</t>
    </r>
  </si>
  <si>
    <r>
      <t>·</t>
    </r>
    <r>
      <rPr>
        <sz val="12"/>
        <color theme="1"/>
        <rFont val="Times New Roman"/>
        <family val="1"/>
      </rPr>
      <t xml:space="preserve">         </t>
    </r>
    <r>
      <rPr>
        <sz val="12"/>
        <color theme="1"/>
        <rFont val="Calibri"/>
        <family val="2"/>
        <scheme val="minor"/>
      </rPr>
      <t>Tabeller (kvalitative krav – verbale beskrivelser)</t>
    </r>
  </si>
  <si>
    <t>Risikorapporten består af 2 dokumenter:</t>
  </si>
  <si>
    <t>1.</t>
  </si>
  <si>
    <t>2.</t>
  </si>
  <si>
    <t>Centrumpladsen 19, 5700 Svendborg</t>
  </si>
  <si>
    <t>25 80 28 88</t>
  </si>
  <si>
    <t>62 21 33 22</t>
  </si>
  <si>
    <t>post@fynskebank.dk</t>
  </si>
  <si>
    <t>www.fynskebank.dk</t>
  </si>
  <si>
    <t>Denne fil hvor alle skemaer er udfyldt med data (kvantitative krav) i hver sit ark. Derudover indeholder filen arket ”Indhold”, som er en oversigt over samtlige skemaer og tabeller og arket ”Erklæring” som indeholder ledelseserklæring på bankens søjle III oplysninger.</t>
  </si>
  <si>
    <t>Administrerende direktør</t>
  </si>
  <si>
    <t>Væsentlige målekriterier og oversigt over risikovægtede eksponeringsværdier</t>
  </si>
  <si>
    <t>213800JF3JFF6MMR2P36</t>
  </si>
  <si>
    <t>Der henvises til bankens vederlagsrapport som offenliggøres på bankens hjemmeside for yderligere specifikationer.</t>
  </si>
  <si>
    <t>*) Aflønning til ledelsen oplyses under et og væsentlige risikoetageres aflønning oplyses under et begge under hensyntagen til  Databeskyttelsesforordningen (GDPR -  (EU) 2016/679).</t>
  </si>
  <si>
    <t>*) Bestyrelsens og direktions aflønning oplyses under et under hensyntagen til  Databeskyttelsesforordningen (GDPR -  (EU) 2016/679).</t>
  </si>
  <si>
    <t>Skemaer der i Fynske Bank er uden indhold</t>
  </si>
  <si>
    <t>Udskudte skatteaktiver</t>
  </si>
  <si>
    <t>Aktuelle skatteforpligtelser</t>
  </si>
  <si>
    <t>Kontracyklisk kapitalbuffer</t>
  </si>
  <si>
    <t>Henning Dam</t>
  </si>
  <si>
    <t>1. halvår 2023</t>
  </si>
  <si>
    <t>31. dec. 2023</t>
  </si>
  <si>
    <t>EU-1a</t>
  </si>
  <si>
    <t>2</t>
  </si>
  <si>
    <t>3</t>
  </si>
  <si>
    <t>4</t>
  </si>
  <si>
    <t>5</t>
  </si>
  <si>
    <t>6a</t>
  </si>
  <si>
    <t>6b</t>
  </si>
  <si>
    <t>6c</t>
  </si>
  <si>
    <t>EU-12a</t>
  </si>
  <si>
    <t>EU-12b</t>
  </si>
  <si>
    <t>EU-12c</t>
  </si>
  <si>
    <t>EU-31a</t>
  </si>
  <si>
    <t>EU-32</t>
  </si>
  <si>
    <t>Minimumskrav for kapitalgrundlag og nedskrivningsrelevante passiver (MREL)</t>
  </si>
  <si>
    <t>Kapitalgrundlag og nedskrivningsrelevante passiver</t>
  </si>
  <si>
    <t>Heraf kapitalgrundlag og efterstillede passiver</t>
  </si>
  <si>
    <t>Afviklingskoncernens samlede risikoeksponering (SRE)</t>
  </si>
  <si>
    <t>Kapitalgrundlag og nedskrivningsrelevante passiver som en procentdel af SRE</t>
  </si>
  <si>
    <t>Afviklingskoncernens samlede eksponeringsmål (SEM)</t>
  </si>
  <si>
    <t>Kapitalgrundlag og nedskrivningsrelevante passiver som en procentdel af SEM</t>
  </si>
  <si>
    <t>Heraf kapitalgrundlag eller efterstillede passiver</t>
  </si>
  <si>
    <t>Finder undtagelsen fra efterstilling i artikel 72b, stk. 4, i forordning (EU) nr. 575/2013 anvendelse? (undtagelse på 5 %)</t>
  </si>
  <si>
    <t>Samlet beløb, der udgøres af tilladte ikke-efterstillede nedskrivningsrelevante passivinstrumenter, hvis der anvendes skønsmæssig efterstilling i overensstemmelse med artikel 72b, stk. 3, i forordning (EU) nr. 575/2013 (undtagelse på maks. 3,5 %)</t>
  </si>
  <si>
    <t>Hvis en reduceret undtagelse fra efterstilling finder anvendelse, jf. artikel 72b, stk. 3, i forordning (EU) nr. 575/2013, skal enhederne indberette det finansieringsbeløb, der er sidestillet med udelukkede passiver, og som er angivet i række 1, divideret med den udstedte finansiering, der er sidestillet med udelukkede passiver, og som ville skulle indregnes i række 1, hvis der ikke var anvendt noget loft (i %).</t>
  </si>
  <si>
    <t>Kapitalgrundlag og nedskrivningsrelevante passivposter, forhold og bestanddele</t>
  </si>
  <si>
    <t>MREL udtrykt som en procentdel af SRE</t>
  </si>
  <si>
    <t>Heraf som skal opfyldes med kapitalgrundlag eller efterstillede passiver</t>
  </si>
  <si>
    <t>MREL udtrykt som en procentdel af SEM</t>
  </si>
  <si>
    <t>Krav til kapitalgrundlag og nedskrivningsrelevante passiver for G-SII'er (TLAC)</t>
  </si>
  <si>
    <t>Kapitalgrundlag og nedskrivningsrelevante passivposter og justeringer</t>
  </si>
  <si>
    <t>Egentlig kernekapital (CET1)</t>
  </si>
  <si>
    <t>Hybrid kernekapital (AT1)</t>
  </si>
  <si>
    <t>Tom gruppe i EU</t>
  </si>
  <si>
    <t>Supplerende kapital (T2)</t>
  </si>
  <si>
    <t>Kapitalgrundlag med henblik på artikel 92a i forordning (EU) nr. 575/2013 og artikel 45 i direktiv 2014/59/EU</t>
  </si>
  <si>
    <t>Kapitalgrundlag og nedskrivningsrelevante passiver: Ikke-lovpligtige kapitalelementer</t>
  </si>
  <si>
    <t>Nedskrivningsrelevante passivinstrumenter, der er udstedt direkte af afviklingsenheden, og som er efterstillet udelukkede passiver (ikke omfattet af overgangsbestemmelser)</t>
  </si>
  <si>
    <t>Nedskrivningsrelevante passivinstrumenter, der er udstedt af andre enheder inden for afviklingskoncernen, og som er efterstillet udelukkede passiver (ikke omfattet af overgangsbestemmelser)</t>
  </si>
  <si>
    <t>Nedskrivningsrelevante passivinstrumenter, der er efterstillet udelukkede passiver, udstedt før den 27. juni 2019 (efterstillet og omfattet af overgangsbestemmelser)</t>
  </si>
  <si>
    <t>Supplerende kapitalinstrumenter med en restløbetid på mindst ét år, for så vidt som de ikke kan betragtes som supplerende kapitalposter</t>
  </si>
  <si>
    <t>Nedskrivningsrelevante passiver, der ikke er efterstillet udelukkede passiver (ikke omfattet af overgangsbestemmelser, før indførelse af loftet)</t>
  </si>
  <si>
    <t>Nedskrivningsrelevante passiver, der ikke er efterstillet udelukkede passiver, udstedt før den 27. juni 2019 (før indførelse af loftet)</t>
  </si>
  <si>
    <t>Beløb, der udgøres af efterstillede nedskrivningsrelevante instrumenter, når det er relevant efter anvendelse artikel 72b, stk. 3, i CRR</t>
  </si>
  <si>
    <t>Nedskrivningsrelevante passivposter forud for justeringer</t>
  </si>
  <si>
    <t>Heraf efterstillede passivposter</t>
  </si>
  <si>
    <t>Kapitalgrundlag og nedskrivningsrelevante passiver: Justeringer af ikke-lovpligtige kapitalelementer</t>
  </si>
  <si>
    <t>Kapitalgrundlag og nedskrivningsrelevante passivposter forud for justeringer</t>
  </si>
  <si>
    <t>(Fradrag af eksponeringer mellem afviklingskoncerner, der er omfattet af multiple point of entry (MPE))</t>
  </si>
  <si>
    <t>(Fradrag af investeringer i andre nedskrivningsrelevante passivinstrumenter)</t>
  </si>
  <si>
    <t>Kapitalgrundlag og nedskrivningsrelevante passivposter efter justeringer</t>
  </si>
  <si>
    <t>Heraf: kapitalgrundlag og efterstillede passiver</t>
  </si>
  <si>
    <t>Afviklingskoncernens risikovægtede eksponeringsværdi og eksponeringsmål bag gearingsgraden</t>
  </si>
  <si>
    <t>Samlet risikoeksponering (SRE)</t>
  </si>
  <si>
    <t>Samlet eksponeringsmål (SEM)</t>
  </si>
  <si>
    <t>Andel bestående af kapitalgrundlag og nedskrivningsrelevante passiver</t>
  </si>
  <si>
    <t>Egentlig kernekapital (som en procentdel af SRE), der står til rådighed efter opfyldelse af afviklingskoncernens krav</t>
  </si>
  <si>
    <t>Institutspecifikt kombineret bufferkrav</t>
  </si>
  <si>
    <t>heraf kapitalbevaringsbufferkrav</t>
  </si>
  <si>
    <t>heraf kontracyklisk bufferkrav</t>
  </si>
  <si>
    <t>heraf systemisk risikobufferkrav</t>
  </si>
  <si>
    <t>heraf buffer for globalt systemisk vigtige institutter (G-SII-buffer) eller buffer for andre systemisk vigtige institutter (O-SII-buffer)</t>
  </si>
  <si>
    <t>Memorandumposter</t>
  </si>
  <si>
    <t>Det samlede beløb, der udgøres af udelukkede passiver, jf. artikel 72a, stk. 2, i forordning (EU) nr. 575/2013</t>
  </si>
  <si>
    <t>Prioritetsrækkefølge ved insolvens</t>
  </si>
  <si>
    <t>Beskrivelse af placeringer i prioritetsrækkefølgen ved insolvens (fritekst)</t>
  </si>
  <si>
    <t>Kapitalgrundlag og passiver, der potentielt er nedskrivningsrelevante med henblik på at opfylde MREL</t>
  </si>
  <si>
    <t>heraf restløbetid ≥ 1 år &lt; 2 år</t>
  </si>
  <si>
    <t>heraf restløbetid ≥ 2 år &lt; 5 år</t>
  </si>
  <si>
    <t>heraf restløbetid ≥ 5 år &lt; 10 år</t>
  </si>
  <si>
    <t>heraf restløbetid ≥ 10 år, dog undtagen værdipapirer uden udløbsdato</t>
  </si>
  <si>
    <t>heraf værdipapirer uden udløbsdato</t>
  </si>
  <si>
    <t>Summen af 1 til 6</t>
  </si>
  <si>
    <t>Skema EU KM2 - Væsentlige målekriterier</t>
  </si>
  <si>
    <t>Skema EU TLAC1 - Sammensætning</t>
  </si>
  <si>
    <t>Skema EU TLAC3b: Kreditorrækkefølge (afviklingsenhed)</t>
  </si>
  <si>
    <t>NEP-krav</t>
  </si>
  <si>
    <t>EU KM2</t>
  </si>
  <si>
    <t>EU TLAC1</t>
  </si>
  <si>
    <t>EU TLAC3b</t>
  </si>
  <si>
    <t>Væsentlige målekriterier</t>
  </si>
  <si>
    <t>Sammensætning</t>
  </si>
  <si>
    <t>Kreditorrækkefølge (afviklingsenhed)</t>
  </si>
  <si>
    <t>Hybrid kernekapital</t>
  </si>
  <si>
    <t>ikke-foranstillet seniorgæld</t>
  </si>
  <si>
    <t xml:space="preserve">Pdf-filen "Risikorapport 2024" som indeholder beskrivelser til tabellerne (kvalitative krav), hvor det enkelte afsnit er direkte henførbart til den enkelte række i tabellerne. </t>
  </si>
  <si>
    <t>Bankens søjle III-oplysningsforpligtelser pr. 31. december 2024 er udarbejdet i overensstemmelse med bankens bestyrelsesgodkendte politik for oplysning af søjle III-information, som er baseret på Europa-Parlamentets og Rådets forordning 2019/876 af 20. maj 2019, EU-Kommissionens implementerende regulering 2021/637 af 15. marts 2021 og EU-Kommissionens gennemførselsforordning 2021/763 af 23. april 2021, samt godkendt af bestyrelsen d. 27. februar 2025. Politikken fastsætter bankens interne kontroller og procedurer for yderligere søjle III-oplysningsforpligtelser og omfatter ansvarsfordeling såvel som fuldstændigheds- og dokumentationskrav.</t>
  </si>
  <si>
    <t>27. februar 2025</t>
  </si>
  <si>
    <t>1. halvår 2024</t>
  </si>
  <si>
    <t>Hensatte forpligtelser</t>
  </si>
  <si>
    <t>31. dec. 2024</t>
  </si>
  <si>
    <t>30. sept. 2024</t>
  </si>
  <si>
    <t>30. juni 2024</t>
  </si>
  <si>
    <t>31. marts 2024</t>
  </si>
  <si>
    <t>Ikke mislig-holdte ekspo-neringer med kreditlemp-elser</t>
  </si>
  <si>
    <t>Misligholdte eksponeringer med kreditlempelser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</si>
</sst>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0\ &quot;kr.&quot;;[Red]\-#,##0\ &quot;kr.&quot;"/>
    <numFmt numFmtId="43" formatCode="_-* #,##0.00_-;\-* #,##0.00_-;_-* &quot;-&quot;??_-;_-@_-"/>
    <numFmt numFmtId="164" formatCode="_-* #,##0_-;\-* #,##0_-;_-* &quot;-&quot;??_-;_-@_-"/>
    <numFmt numFmtId="165" formatCode="0_ ;\-0\ "/>
    <numFmt numFmtId="166" formatCode="_-* #,##0.0_-;\-* #,##0.0_-;_-* &quot;-&quot;??_-;_-@_-"/>
    <numFmt numFmtId="167" formatCode="#,##0_ ;\-#,##0\ "/>
    <numFmt numFmtId="168" formatCode="_ * #,##0.00_ ;_ * \-#,##0.00_ ;_ * &quot;-&quot;??_ ;_ @_ "/>
  </numFmts>
  <fonts count="14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theme="1"/>
      <name val="Segoe UI"/>
      <family val="2"/>
    </font>
    <font>
      <sz val="11"/>
      <name val="Calibri"/>
      <family val="2"/>
      <scheme val="minor"/>
    </font>
    <font>
      <b/>
      <sz val="11"/>
      <name val="Calibri"/>
      <family val="2"/>
      <scheme val="minor"/>
    </font>
    <font>
      <sz val="9"/>
      <name val="Calibri"/>
      <family val="2"/>
      <scheme val="minor"/>
    </font>
    <font>
      <sz val="9"/>
      <name val="Calibri Light"/>
      <family val="2"/>
      <scheme val="major"/>
    </font>
    <font>
      <sz val="9"/>
      <color theme="1"/>
      <name val="Calibri"/>
      <family val="2"/>
      <scheme val="minor"/>
    </font>
    <font>
      <sz val="11"/>
      <color rgb="FF000000"/>
      <name val="Calibri"/>
      <family val="2"/>
      <scheme val="minor"/>
    </font>
    <font>
      <b/>
      <sz val="11"/>
      <color rgb="FF000000"/>
      <name val="Calibri"/>
      <family val="2"/>
      <scheme val="minor"/>
    </font>
    <font>
      <b/>
      <sz val="14"/>
      <name val="Calibri"/>
      <family val="2"/>
      <scheme val="minor"/>
    </font>
    <font>
      <sz val="10"/>
      <color theme="1"/>
      <name val="Arial"/>
      <family val="2"/>
    </font>
    <font>
      <b/>
      <sz val="7.5"/>
      <color theme="1"/>
      <name val="Segoe UI"/>
      <family val="2"/>
    </font>
    <font>
      <i/>
      <sz val="7.5"/>
      <color theme="1"/>
      <name val="Segoe UI"/>
      <family val="2"/>
    </font>
    <font>
      <sz val="7.5"/>
      <color theme="1"/>
      <name val="Segoe UI"/>
      <family val="2"/>
    </font>
    <font>
      <sz val="7.5"/>
      <color theme="1"/>
      <name val="Symbol"/>
      <family val="1"/>
      <charset val="2"/>
    </font>
    <font>
      <sz val="14"/>
      <color theme="1"/>
      <name val="Calibri"/>
      <family val="2"/>
      <scheme val="minor"/>
    </font>
    <font>
      <i/>
      <sz val="11"/>
      <color theme="1"/>
      <name val="Calibri"/>
      <family val="2"/>
      <scheme val="minor"/>
    </font>
    <font>
      <b/>
      <sz val="10"/>
      <color theme="1"/>
      <name val="Arial"/>
      <family val="2"/>
    </font>
    <font>
      <b/>
      <sz val="8"/>
      <color theme="1"/>
      <name val="Segoe UI"/>
      <family val="2"/>
    </font>
    <font>
      <sz val="8"/>
      <color theme="1"/>
      <name val="Arial"/>
      <family val="2"/>
    </font>
    <font>
      <sz val="8"/>
      <name val="Arial"/>
      <family val="2"/>
    </font>
    <font>
      <b/>
      <sz val="8"/>
      <name val="Arial"/>
      <family val="2"/>
    </font>
    <font>
      <b/>
      <sz val="8"/>
      <color theme="1"/>
      <name val="Arial"/>
      <family val="2"/>
    </font>
    <font>
      <b/>
      <sz val="8"/>
      <color rgb="FF000000"/>
      <name val="Arial"/>
      <family val="2"/>
    </font>
    <font>
      <sz val="8"/>
      <color rgb="FF000000"/>
      <name val="Arial"/>
      <family val="2"/>
    </font>
    <font>
      <b/>
      <strike/>
      <sz val="8"/>
      <color rgb="FFFF0000"/>
      <name val="Arial"/>
      <family val="2"/>
    </font>
    <font>
      <b/>
      <sz val="14"/>
      <color theme="1"/>
      <name val="Calibri"/>
      <family val="2"/>
      <scheme val="minor"/>
    </font>
    <font>
      <b/>
      <sz val="9"/>
      <name val="Calibri"/>
      <family val="2"/>
      <scheme val="minor"/>
    </font>
    <font>
      <sz val="8"/>
      <color theme="1"/>
      <name val="Calibri"/>
      <family val="2"/>
      <scheme val="minor"/>
    </font>
    <font>
      <sz val="10"/>
      <color theme="1"/>
      <name val="Calibri"/>
      <family val="2"/>
      <scheme val="minor"/>
    </font>
    <font>
      <sz val="12"/>
      <color rgb="FF000000"/>
      <name val="Times New Roman"/>
      <family val="1"/>
    </font>
    <font>
      <b/>
      <sz val="14"/>
      <color rgb="FF000000"/>
      <name val="Calibri"/>
      <family val="2"/>
      <scheme val="minor"/>
    </font>
    <font>
      <i/>
      <sz val="11"/>
      <color rgb="FF000000"/>
      <name val="Calibri"/>
      <family val="2"/>
      <scheme val="minor"/>
    </font>
    <font>
      <sz val="10"/>
      <name val="Arial"/>
      <family val="2"/>
    </font>
    <font>
      <strike/>
      <sz val="9"/>
      <name val="Calibri"/>
      <family val="2"/>
      <scheme val="minor"/>
    </font>
    <font>
      <b/>
      <sz val="11"/>
      <color rgb="FFFF0000"/>
      <name val="Calibri"/>
      <family val="2"/>
      <scheme val="minor"/>
    </font>
    <font>
      <sz val="11"/>
      <color theme="1"/>
      <name val="Calibri"/>
      <family val="2"/>
      <charset val="238"/>
      <scheme val="minor"/>
    </font>
    <font>
      <b/>
      <sz val="12"/>
      <color rgb="FF000000"/>
      <name val="Calibri"/>
      <family val="2"/>
      <scheme val="minor"/>
    </font>
    <font>
      <u/>
      <sz val="11"/>
      <color rgb="FF008080"/>
      <name val="Calibri"/>
      <family val="2"/>
      <scheme val="minor"/>
    </font>
    <font>
      <b/>
      <sz val="11"/>
      <color theme="1"/>
      <name val="Segoe UI"/>
      <family val="2"/>
    </font>
    <font>
      <sz val="12"/>
      <color theme="1"/>
      <name val="Calibri"/>
      <family val="2"/>
      <scheme val="minor"/>
    </font>
    <font>
      <i/>
      <sz val="11"/>
      <name val="Calibri"/>
      <family val="2"/>
      <scheme val="minor"/>
    </font>
    <font>
      <b/>
      <sz val="10"/>
      <name val="Calibri"/>
      <family val="2"/>
      <scheme val="minor"/>
    </font>
    <font>
      <sz val="8.5"/>
      <color theme="1"/>
      <name val="Segoe UI"/>
      <family val="2"/>
    </font>
    <font>
      <i/>
      <sz val="8"/>
      <color theme="1"/>
      <name val="Segoe UI"/>
      <family val="2"/>
    </font>
    <font>
      <b/>
      <i/>
      <sz val="8.5"/>
      <color theme="1"/>
      <name val="Segoe UI"/>
      <family val="2"/>
    </font>
    <font>
      <b/>
      <sz val="10"/>
      <color rgb="FF2F5773"/>
      <name val="Calibri"/>
      <family val="2"/>
      <scheme val="minor"/>
    </font>
    <font>
      <strike/>
      <sz val="11"/>
      <color rgb="FFFF0000"/>
      <name val="Calibri"/>
      <family val="2"/>
      <scheme val="minor"/>
    </font>
    <font>
      <b/>
      <i/>
      <sz val="11"/>
      <name val="Calibri"/>
      <family val="2"/>
      <scheme val="minor"/>
    </font>
    <font>
      <sz val="12"/>
      <name val="Calibri"/>
      <family val="2"/>
      <scheme val="minor"/>
    </font>
    <font>
      <sz val="8.5"/>
      <name val="Segoe UI"/>
      <family val="2"/>
    </font>
    <font>
      <b/>
      <sz val="8.5"/>
      <name val="Segoe UI"/>
      <family val="2"/>
    </font>
    <font>
      <b/>
      <sz val="8.5"/>
      <color theme="1"/>
      <name val="Segoe UI"/>
      <family val="2"/>
    </font>
    <font>
      <sz val="8.5"/>
      <color rgb="FF000000"/>
      <name val="Segoe UI"/>
      <family val="2"/>
    </font>
    <font>
      <i/>
      <sz val="8.5"/>
      <color theme="1"/>
      <name val="Segoe UI"/>
      <family val="2"/>
    </font>
    <font>
      <b/>
      <sz val="10"/>
      <color theme="1"/>
      <name val="Calibri"/>
      <family val="2"/>
      <scheme val="minor"/>
    </font>
    <font>
      <sz val="8"/>
      <color theme="1"/>
      <name val="Segoe UI"/>
      <family val="2"/>
    </font>
    <font>
      <i/>
      <sz val="8.5"/>
      <color rgb="FF000000"/>
      <name val="Segoe UI"/>
      <family val="2"/>
    </font>
    <font>
      <sz val="10"/>
      <color theme="1"/>
      <name val="Times New Roman"/>
      <family val="1"/>
    </font>
    <font>
      <sz val="7.5"/>
      <color theme="1"/>
      <name val="Calibri"/>
      <family val="2"/>
      <scheme val="minor"/>
    </font>
    <font>
      <sz val="7.5"/>
      <color rgb="FF000000"/>
      <name val="Segoe UI"/>
      <family val="2"/>
    </font>
    <font>
      <i/>
      <sz val="7.5"/>
      <color rgb="FF000000"/>
      <name val="Segoe UI"/>
      <family val="2"/>
    </font>
    <font>
      <b/>
      <i/>
      <sz val="7.5"/>
      <color rgb="FF000000"/>
      <name val="Segoe UI"/>
      <family val="2"/>
    </font>
    <font>
      <b/>
      <i/>
      <sz val="7.5"/>
      <color theme="1"/>
      <name val="Segoe UI"/>
      <family val="2"/>
    </font>
    <font>
      <sz val="11"/>
      <color rgb="FF000000"/>
      <name val="Segoe UI"/>
      <family val="2"/>
    </font>
    <font>
      <b/>
      <sz val="16"/>
      <color theme="1"/>
      <name val="Arial"/>
      <family val="2"/>
    </font>
    <font>
      <b/>
      <sz val="14"/>
      <color theme="1"/>
      <name val="Arial"/>
      <family val="2"/>
    </font>
    <font>
      <sz val="16"/>
      <color theme="1"/>
      <name val="Calibri"/>
      <family val="2"/>
      <scheme val="minor"/>
    </font>
    <font>
      <b/>
      <sz val="11"/>
      <color rgb="FF000000"/>
      <name val="Segoe UI"/>
      <family val="2"/>
    </font>
    <font>
      <sz val="8.5"/>
      <color theme="1"/>
      <name val="Calibri"/>
      <family val="2"/>
      <scheme val="minor"/>
    </font>
    <font>
      <b/>
      <sz val="8.5"/>
      <color theme="1"/>
      <name val="Calibri"/>
      <family val="2"/>
      <scheme val="minor"/>
    </font>
    <font>
      <sz val="11"/>
      <color rgb="FF1F497D"/>
      <name val="Calibri"/>
      <family val="2"/>
    </font>
    <font>
      <b/>
      <sz val="16"/>
      <color theme="1"/>
      <name val="Calibri"/>
      <family val="2"/>
      <scheme val="minor"/>
    </font>
    <font>
      <sz val="24"/>
      <color rgb="FF000000"/>
      <name val="Segoe UI"/>
      <family val="2"/>
    </font>
    <font>
      <b/>
      <sz val="8.5"/>
      <color rgb="FF000000"/>
      <name val="Segoe UI"/>
      <family val="2"/>
    </font>
    <font>
      <i/>
      <sz val="8.5"/>
      <name val="Segoe UI"/>
      <family val="2"/>
    </font>
    <font>
      <sz val="11"/>
      <color theme="1"/>
      <name val="Segoe UI"/>
      <family val="2"/>
    </font>
    <font>
      <i/>
      <sz val="11"/>
      <color theme="1"/>
      <name val="Segoe UI"/>
      <family val="2"/>
    </font>
    <font>
      <i/>
      <sz val="12"/>
      <color theme="1"/>
      <name val="Segoe UI"/>
      <family val="2"/>
    </font>
    <font>
      <b/>
      <sz val="12"/>
      <color theme="1"/>
      <name val="Segoe UI"/>
      <family val="2"/>
    </font>
    <font>
      <b/>
      <i/>
      <sz val="11"/>
      <color theme="1"/>
      <name val="Calibri"/>
      <family val="2"/>
      <scheme val="minor"/>
    </font>
    <font>
      <sz val="9"/>
      <color rgb="FF1F497D"/>
      <name val="Calibri"/>
      <family val="2"/>
    </font>
    <font>
      <sz val="9"/>
      <color theme="4" tint="-0.249977111117893"/>
      <name val="Calibri"/>
      <family val="2"/>
    </font>
    <font>
      <b/>
      <sz val="12"/>
      <color theme="1"/>
      <name val="Arial"/>
      <family val="2"/>
    </font>
    <font>
      <sz val="10"/>
      <color rgb="FFFF0000"/>
      <name val="Arial"/>
      <family val="2"/>
    </font>
    <font>
      <b/>
      <sz val="18"/>
      <color rgb="FFFF0000"/>
      <name val="Calibri"/>
      <family val="2"/>
      <scheme val="minor"/>
    </font>
    <font>
      <b/>
      <sz val="10"/>
      <name val="Arial"/>
      <family val="2"/>
    </font>
    <font>
      <sz val="8"/>
      <color rgb="FFFF0000"/>
      <name val="Segoe UI"/>
      <family val="2"/>
    </font>
    <font>
      <sz val="18"/>
      <color theme="1"/>
      <name val="Calibri"/>
      <family val="2"/>
      <scheme val="minor"/>
    </font>
    <font>
      <b/>
      <sz val="12"/>
      <name val="Arial"/>
      <family val="2"/>
    </font>
    <font>
      <b/>
      <sz val="10"/>
      <color rgb="FF000000"/>
      <name val="Arial"/>
      <family val="2"/>
    </font>
    <font>
      <sz val="11"/>
      <color theme="1"/>
      <name val="Arial"/>
      <family val="2"/>
    </font>
    <font>
      <i/>
      <sz val="10"/>
      <color theme="1"/>
      <name val="Arial"/>
      <family val="2"/>
    </font>
    <font>
      <i/>
      <u/>
      <sz val="11"/>
      <name val="Calibri"/>
      <family val="2"/>
      <scheme val="minor"/>
    </font>
    <font>
      <sz val="11"/>
      <color indexed="10"/>
      <name val="Calibri"/>
      <family val="2"/>
      <scheme val="minor"/>
    </font>
    <font>
      <sz val="8"/>
      <color rgb="FFFF0000"/>
      <name val="Calibri"/>
      <family val="2"/>
      <scheme val="minor"/>
    </font>
    <font>
      <strike/>
      <sz val="11"/>
      <name val="Calibri"/>
      <family val="2"/>
      <scheme val="minor"/>
    </font>
    <font>
      <sz val="10"/>
      <color indexed="8"/>
      <name val="Verdana"/>
      <family val="2"/>
    </font>
    <font>
      <b/>
      <sz val="9"/>
      <name val="Verdana"/>
      <family val="2"/>
    </font>
    <font>
      <b/>
      <sz val="20"/>
      <name val="Arial"/>
      <family val="2"/>
    </font>
    <font>
      <sz val="11"/>
      <name val="Arial"/>
      <family val="2"/>
    </font>
    <font>
      <sz val="11"/>
      <name val="Calibri"/>
      <family val="2"/>
      <charset val="238"/>
      <scheme val="minor"/>
    </font>
    <font>
      <sz val="9"/>
      <name val="Arial"/>
      <family val="2"/>
    </font>
    <font>
      <sz val="10"/>
      <name val="Calibri"/>
      <family val="2"/>
      <scheme val="minor"/>
    </font>
    <font>
      <b/>
      <sz val="12"/>
      <name val="Calibri"/>
      <family val="2"/>
      <scheme val="minor"/>
    </font>
    <font>
      <sz val="10"/>
      <color rgb="FF00B050"/>
      <name val="Arial"/>
      <family val="2"/>
    </font>
    <font>
      <sz val="10"/>
      <color theme="1"/>
      <name val="Verdana"/>
      <family val="2"/>
    </font>
    <font>
      <u/>
      <sz val="11"/>
      <color theme="10"/>
      <name val="Calibri"/>
      <family val="2"/>
      <scheme val="minor"/>
    </font>
    <font>
      <b/>
      <u/>
      <sz val="14"/>
      <color theme="10"/>
      <name val="Calibri"/>
      <family val="2"/>
      <scheme val="minor"/>
    </font>
    <font>
      <b/>
      <i/>
      <sz val="8.5"/>
      <name val="Segoe UI"/>
      <family val="2"/>
    </font>
    <font>
      <b/>
      <sz val="11"/>
      <color theme="0"/>
      <name val="Calibri"/>
      <family val="2"/>
      <scheme val="minor"/>
    </font>
    <font>
      <sz val="11"/>
      <color theme="0"/>
      <name val="Calibri"/>
      <family val="2"/>
      <scheme val="minor"/>
    </font>
    <font>
      <sz val="11"/>
      <color theme="0" tint="-4.9989318521683403E-2"/>
      <name val="Calibri"/>
      <family val="2"/>
      <scheme val="minor"/>
    </font>
    <font>
      <sz val="12"/>
      <color theme="0"/>
      <name val="Calibri"/>
      <family val="2"/>
      <scheme val="minor"/>
    </font>
    <font>
      <sz val="8.5"/>
      <color theme="0"/>
      <name val="Segoe UI"/>
      <family val="2"/>
    </font>
    <font>
      <sz val="11"/>
      <color theme="0"/>
      <name val="Segoe UI"/>
      <family val="2"/>
    </font>
    <font>
      <sz val="8.5"/>
      <color theme="0"/>
      <name val="Calibri"/>
      <family val="2"/>
      <scheme val="minor"/>
    </font>
    <font>
      <b/>
      <i/>
      <sz val="11"/>
      <color rgb="FF000000"/>
      <name val="Calibri"/>
      <family val="2"/>
      <scheme val="minor"/>
    </font>
    <font>
      <b/>
      <sz val="11"/>
      <color theme="0"/>
      <name val="Segoe UI"/>
      <family val="2"/>
    </font>
    <font>
      <sz val="10"/>
      <color rgb="FF000000"/>
      <name val="Calibri"/>
      <family val="2"/>
      <scheme val="minor"/>
    </font>
    <font>
      <sz val="10"/>
      <color theme="0"/>
      <name val="Arial"/>
      <family val="2"/>
    </font>
    <font>
      <u/>
      <sz val="11"/>
      <name val="Calibri"/>
      <family val="2"/>
      <scheme val="minor"/>
    </font>
    <font>
      <b/>
      <sz val="12"/>
      <color theme="1"/>
      <name val="Calibri"/>
      <family val="2"/>
      <scheme val="minor"/>
    </font>
    <font>
      <sz val="10"/>
      <color theme="0"/>
      <name val="Calibri"/>
      <family val="2"/>
      <scheme val="minor"/>
    </font>
    <font>
      <sz val="11"/>
      <color theme="0" tint="-0.499984740745262"/>
      <name val="Calibri"/>
      <family val="2"/>
      <scheme val="minor"/>
    </font>
    <font>
      <b/>
      <sz val="9"/>
      <color theme="0"/>
      <name val="Verdana"/>
      <family val="2"/>
    </font>
    <font>
      <b/>
      <strike/>
      <sz val="9"/>
      <color theme="0"/>
      <name val="Verdana"/>
      <family val="2"/>
    </font>
    <font>
      <b/>
      <sz val="14"/>
      <color theme="1"/>
      <name val="Calibri"/>
      <family val="2"/>
    </font>
    <font>
      <b/>
      <sz val="12"/>
      <color theme="1"/>
      <name val="Calibri"/>
      <family val="2"/>
    </font>
    <font>
      <sz val="12"/>
      <color theme="1"/>
      <name val="Calibri"/>
      <family val="2"/>
    </font>
    <font>
      <sz val="12"/>
      <color theme="1"/>
      <name val="Symbol"/>
      <family val="1"/>
      <charset val="2"/>
    </font>
    <font>
      <sz val="12"/>
      <color theme="1"/>
      <name val="Times New Roman"/>
      <family val="1"/>
    </font>
    <font>
      <b/>
      <sz val="9"/>
      <color theme="1"/>
      <name val="Calibri"/>
      <family val="2"/>
    </font>
    <font>
      <sz val="9"/>
      <color theme="1"/>
      <name val="Calibri"/>
      <family val="2"/>
    </font>
    <font>
      <b/>
      <sz val="14"/>
      <color theme="0"/>
      <name val="Calibri"/>
      <family val="2"/>
      <scheme val="minor"/>
    </font>
    <font>
      <b/>
      <sz val="12"/>
      <color theme="0"/>
      <name val="Calibri"/>
      <family val="2"/>
      <scheme val="minor"/>
    </font>
    <font>
      <b/>
      <sz val="10"/>
      <color theme="0"/>
      <name val="Calibri"/>
      <family val="2"/>
      <scheme val="minor"/>
    </font>
    <font>
      <sz val="9"/>
      <name val="Verdana"/>
      <family val="2"/>
    </font>
    <font>
      <sz val="9"/>
      <color theme="1"/>
      <name val="Verdana"/>
      <family val="2"/>
    </font>
    <font>
      <b/>
      <sz val="9"/>
      <color theme="1"/>
      <name val="Verdana"/>
      <family val="2"/>
    </font>
    <font>
      <b/>
      <sz val="9"/>
      <color rgb="FF7030A0"/>
      <name val="Verdana"/>
      <family val="2"/>
    </font>
    <font>
      <b/>
      <sz val="9"/>
      <color theme="1"/>
      <name val="Calibri"/>
      <family val="2"/>
      <scheme val="minor"/>
    </font>
    <font>
      <sz val="10"/>
      <color theme="1"/>
      <name val="Times New Roman"/>
      <family val="2"/>
    </font>
  </fonts>
  <fills count="24">
    <fill>
      <patternFill patternType="none"/>
    </fill>
    <fill>
      <patternFill patternType="gray125"/>
    </fill>
    <fill>
      <patternFill patternType="solid">
        <fgColor theme="0" tint="-4.9989318521683403E-2"/>
        <bgColor indexed="64"/>
      </patternFill>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4.9989318521683403E-2"/>
        <bgColor theme="0" tint="-4.9989318521683403E-2"/>
      </patternFill>
    </fill>
    <fill>
      <patternFill patternType="darkTrellis">
        <fgColor theme="0" tint="-4.9989318521683403E-2"/>
        <bgColor theme="0" tint="-4.9989318521683403E-2"/>
      </patternFill>
    </fill>
    <fill>
      <patternFill patternType="solid">
        <fgColor theme="0" tint="-0.499984740745262"/>
        <bgColor indexed="64"/>
      </patternFill>
    </fill>
    <fill>
      <patternFill patternType="solid">
        <fgColor indexed="42"/>
        <bgColor indexed="64"/>
      </patternFill>
    </fill>
    <fill>
      <patternFill patternType="solid">
        <fgColor indexed="9"/>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rgb="FF595959"/>
        <bgColor indexed="64"/>
      </patternFill>
    </fill>
    <fill>
      <patternFill patternType="solid">
        <fgColor rgb="FFA6A6A6"/>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1"/>
        <bgColor indexed="64"/>
      </patternFill>
    </fill>
    <fill>
      <patternFill patternType="solid">
        <fgColor theme="1"/>
        <bgColor theme="1"/>
      </patternFill>
    </fill>
    <fill>
      <patternFill patternType="lightGray">
        <bgColor theme="0" tint="-0.14996795556505021"/>
      </patternFill>
    </fill>
  </fills>
  <borders count="1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rgb="FF000000"/>
      </left>
      <right/>
      <top style="medium">
        <color indexed="64"/>
      </top>
      <bottom style="medium">
        <color indexed="64"/>
      </bottom>
      <diagonal/>
    </border>
    <border>
      <left/>
      <right/>
      <top style="medium">
        <color indexed="64"/>
      </top>
      <bottom/>
      <diagonal/>
    </border>
    <border>
      <left/>
      <right style="medium">
        <color rgb="FF000000"/>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style="thin">
        <color theme="0"/>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indexed="64"/>
      </bottom>
      <diagonal/>
    </border>
    <border>
      <left style="thin">
        <color theme="0" tint="-4.9989318521683403E-2"/>
      </left>
      <right/>
      <top style="thin">
        <color theme="0" tint="-4.9989318521683403E-2"/>
      </top>
      <bottom style="thin">
        <color indexed="64"/>
      </bottom>
      <diagonal/>
    </border>
    <border>
      <left style="thin">
        <color theme="0" tint="-4.9989318521683403E-2"/>
      </left>
      <right style="thin">
        <color theme="0" tint="-4.9989318521683403E-2"/>
      </right>
      <top style="thin">
        <color indexed="64"/>
      </top>
      <bottom style="thin">
        <color theme="0" tint="-4.9989318521683403E-2"/>
      </bottom>
      <diagonal/>
    </border>
    <border>
      <left style="thin">
        <color theme="0" tint="-4.9989318521683403E-2"/>
      </left>
      <right/>
      <top style="thin">
        <color indexed="64"/>
      </top>
      <bottom style="thin">
        <color theme="0" tint="-4.9989318521683403E-2"/>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theme="0"/>
      </bottom>
      <diagonal/>
    </border>
    <border>
      <left style="thin">
        <color theme="0"/>
      </left>
      <right style="thin">
        <color theme="0"/>
      </right>
      <top/>
      <bottom style="thin">
        <color indexed="64"/>
      </bottom>
      <diagonal/>
    </border>
    <border>
      <left/>
      <right style="thin">
        <color theme="0"/>
      </right>
      <top/>
      <bottom/>
      <diagonal/>
    </border>
    <border>
      <left/>
      <right style="thin">
        <color theme="0"/>
      </right>
      <top/>
      <bottom style="thin">
        <color indexed="64"/>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auto="1"/>
      </right>
      <top style="thin">
        <color theme="0"/>
      </top>
      <bottom style="thin">
        <color theme="0"/>
      </bottom>
      <diagonal/>
    </border>
    <border>
      <left style="thin">
        <color auto="1"/>
      </left>
      <right style="thin">
        <color theme="0"/>
      </right>
      <top style="thin">
        <color theme="0"/>
      </top>
      <bottom style="thin">
        <color theme="0"/>
      </bottom>
      <diagonal/>
    </border>
    <border>
      <left/>
      <right/>
      <top/>
      <bottom style="thin">
        <color theme="0"/>
      </bottom>
      <diagonal/>
    </border>
    <border>
      <left/>
      <right style="thin">
        <color theme="0"/>
      </right>
      <top/>
      <bottom style="thin">
        <color theme="0"/>
      </bottom>
      <diagonal/>
    </border>
    <border>
      <left/>
      <right style="medium">
        <color rgb="FF000000"/>
      </right>
      <top/>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right style="medium">
        <color theme="0"/>
      </right>
      <top/>
      <bottom/>
      <diagonal/>
    </border>
    <border>
      <left style="medium">
        <color theme="0"/>
      </left>
      <right style="medium">
        <color theme="0"/>
      </right>
      <top style="medium">
        <color theme="1"/>
      </top>
      <bottom/>
      <diagonal/>
    </border>
    <border>
      <left style="medium">
        <color theme="0"/>
      </left>
      <right style="medium">
        <color theme="0"/>
      </right>
      <top style="thin">
        <color theme="0"/>
      </top>
      <bottom style="medium">
        <color theme="0"/>
      </bottom>
      <diagonal/>
    </border>
    <border>
      <left style="medium">
        <color theme="0"/>
      </left>
      <right style="medium">
        <color theme="0"/>
      </right>
      <top style="thin">
        <color theme="0"/>
      </top>
      <bottom/>
      <diagonal/>
    </border>
    <border>
      <left style="thin">
        <color theme="0"/>
      </left>
      <right style="thin">
        <color theme="0"/>
      </right>
      <top/>
      <bottom/>
      <diagonal/>
    </border>
    <border>
      <left style="thin">
        <color theme="0"/>
      </left>
      <right style="medium">
        <color theme="0"/>
      </right>
      <top style="thin">
        <color theme="0"/>
      </top>
      <bottom/>
      <diagonal/>
    </border>
    <border>
      <left style="medium">
        <color theme="0"/>
      </left>
      <right style="medium">
        <color theme="0"/>
      </right>
      <top/>
      <bottom/>
      <diagonal/>
    </border>
    <border>
      <left/>
      <right style="medium">
        <color indexed="64"/>
      </right>
      <top style="thin">
        <color indexed="64"/>
      </top>
      <bottom style="thin">
        <color indexed="64"/>
      </bottom>
      <diagonal/>
    </border>
    <border>
      <left/>
      <right/>
      <top style="thin">
        <color theme="0"/>
      </top>
      <bottom/>
      <diagonal/>
    </border>
    <border>
      <left/>
      <right/>
      <top/>
      <bottom style="medium">
        <color rgb="FF000000"/>
      </bottom>
      <diagonal/>
    </border>
    <border>
      <left style="thin">
        <color theme="0"/>
      </left>
      <right/>
      <top/>
      <bottom/>
      <diagonal/>
    </border>
    <border>
      <left style="thin">
        <color theme="0"/>
      </left>
      <right/>
      <top/>
      <bottom style="thin">
        <color indexed="64"/>
      </bottom>
      <diagonal/>
    </border>
    <border>
      <left/>
      <right style="thin">
        <color theme="0"/>
      </right>
      <top/>
      <bottom style="medium">
        <color indexed="64"/>
      </bottom>
      <diagonal/>
    </border>
    <border>
      <left style="thin">
        <color theme="0"/>
      </left>
      <right style="thin">
        <color indexed="64"/>
      </right>
      <top style="thin">
        <color theme="0"/>
      </top>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style="thin">
        <color theme="0" tint="-4.9989318521683403E-2"/>
      </right>
      <top/>
      <bottom style="thin">
        <color theme="0"/>
      </bottom>
      <diagonal/>
    </border>
    <border>
      <left style="thin">
        <color theme="0" tint="-4.9989318521683403E-2"/>
      </left>
      <right/>
      <top style="thin">
        <color theme="0" tint="-4.9989318521683403E-2"/>
      </top>
      <bottom/>
      <diagonal/>
    </border>
    <border>
      <left style="thin">
        <color theme="0"/>
      </left>
      <right style="thin">
        <color indexed="64"/>
      </right>
      <top style="thin">
        <color theme="0"/>
      </top>
      <bottom style="thin">
        <color indexed="64"/>
      </bottom>
      <diagonal/>
    </border>
    <border>
      <left style="thin">
        <color theme="0"/>
      </left>
      <right style="thin">
        <color theme="0"/>
      </right>
      <top style="thin">
        <color indexed="64"/>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auto="1"/>
      </left>
      <right style="thin">
        <color theme="0"/>
      </right>
      <top style="thin">
        <color theme="0"/>
      </top>
      <bottom/>
      <diagonal/>
    </border>
    <border>
      <left style="thin">
        <color theme="0"/>
      </left>
      <right style="thin">
        <color auto="1"/>
      </right>
      <top/>
      <bottom style="thin">
        <color auto="1"/>
      </bottom>
      <diagonal/>
    </border>
    <border>
      <left style="thin">
        <color auto="1"/>
      </left>
      <right style="thin">
        <color theme="0"/>
      </right>
      <top/>
      <bottom style="thin">
        <color auto="1"/>
      </bottom>
      <diagonal/>
    </border>
    <border>
      <left style="thin">
        <color theme="0"/>
      </left>
      <right style="thin">
        <color auto="1"/>
      </right>
      <top style="thin">
        <color auto="1"/>
      </top>
      <bottom style="thin">
        <color theme="0"/>
      </bottom>
      <diagonal/>
    </border>
    <border>
      <left style="thin">
        <color auto="1"/>
      </left>
      <right style="thin">
        <color theme="0"/>
      </right>
      <top style="thin">
        <color auto="1"/>
      </top>
      <bottom style="thin">
        <color theme="0"/>
      </bottom>
      <diagonal/>
    </border>
    <border>
      <left style="thin">
        <color theme="0"/>
      </left>
      <right/>
      <top style="thin">
        <color theme="0"/>
      </top>
      <bottom style="thin">
        <color auto="1"/>
      </bottom>
      <diagonal/>
    </border>
    <border>
      <left/>
      <right style="thin">
        <color theme="0"/>
      </right>
      <top style="thin">
        <color theme="0"/>
      </top>
      <bottom style="thin">
        <color auto="1"/>
      </bottom>
      <diagonal/>
    </border>
    <border>
      <left style="thin">
        <color theme="0"/>
      </left>
      <right/>
      <top style="thin">
        <color auto="1"/>
      </top>
      <bottom style="thin">
        <color auto="1"/>
      </bottom>
      <diagonal/>
    </border>
    <border>
      <left/>
      <right style="thin">
        <color theme="0"/>
      </right>
      <top style="thin">
        <color auto="1"/>
      </top>
      <bottom style="thin">
        <color auto="1"/>
      </bottom>
      <diagonal/>
    </border>
    <border>
      <left style="thin">
        <color theme="0"/>
      </left>
      <right/>
      <top style="thin">
        <color auto="1"/>
      </top>
      <bottom style="thin">
        <color theme="0"/>
      </bottom>
      <diagonal/>
    </border>
    <border>
      <left/>
      <right style="thin">
        <color theme="0"/>
      </right>
      <top style="thin">
        <color auto="1"/>
      </top>
      <bottom style="thin">
        <color theme="0"/>
      </bottom>
      <diagonal/>
    </border>
    <border>
      <left/>
      <right/>
      <top style="thin">
        <color auto="1"/>
      </top>
      <bottom style="thin">
        <color theme="0"/>
      </bottom>
      <diagonal/>
    </border>
    <border>
      <left style="thin">
        <color theme="0"/>
      </left>
      <right style="thin">
        <color theme="0"/>
      </right>
      <top style="medium">
        <color theme="0"/>
      </top>
      <bottom style="thin">
        <color theme="0"/>
      </bottom>
      <diagonal/>
    </border>
    <border>
      <left/>
      <right style="thin">
        <color theme="0"/>
      </right>
      <top style="thin">
        <color auto="1"/>
      </top>
      <bottom/>
      <diagonal/>
    </border>
  </borders>
  <cellStyleXfs count="19">
    <xf numFmtId="0" fontId="0" fillId="0" borderId="0"/>
    <xf numFmtId="43" fontId="1" fillId="0" borderId="0" applyFont="0" applyFill="0" applyBorder="0" applyAlignment="0" applyProtection="0"/>
    <xf numFmtId="9" fontId="1" fillId="0" borderId="0" applyFont="0" applyFill="0" applyBorder="0" applyAlignment="0" applyProtection="0"/>
    <xf numFmtId="0" fontId="36" fillId="0" borderId="0">
      <alignment vertical="center"/>
    </xf>
    <xf numFmtId="3" fontId="36" fillId="11" borderId="1" applyFont="0">
      <alignment horizontal="right" vertical="center"/>
      <protection locked="0"/>
    </xf>
    <xf numFmtId="0" fontId="39" fillId="0" borderId="0"/>
    <xf numFmtId="0" fontId="36" fillId="0" borderId="0">
      <alignment vertical="center"/>
    </xf>
    <xf numFmtId="0" fontId="36" fillId="0" borderId="0"/>
    <xf numFmtId="0" fontId="36" fillId="0" borderId="0"/>
    <xf numFmtId="0" fontId="36" fillId="0" borderId="0"/>
    <xf numFmtId="0" fontId="92" fillId="0" borderId="0" applyNumberFormat="0" applyFill="0" applyBorder="0" applyAlignment="0" applyProtection="0"/>
    <xf numFmtId="0" fontId="102" fillId="12" borderId="34" applyNumberFormat="0" applyFill="0" applyBorder="0" applyAlignment="0" applyProtection="0">
      <alignment horizontal="left"/>
    </xf>
    <xf numFmtId="0" fontId="89" fillId="12" borderId="7" applyFont="0" applyBorder="0">
      <alignment horizontal="center" wrapText="1"/>
    </xf>
    <xf numFmtId="0" fontId="110" fillId="0" borderId="0" applyNumberFormat="0" applyFill="0" applyBorder="0" applyAlignment="0" applyProtection="0"/>
    <xf numFmtId="43" fontId="1" fillId="0" borderId="0" applyFont="0" applyFill="0" applyBorder="0" applyAlignment="0" applyProtection="0"/>
    <xf numFmtId="0" fontId="39" fillId="0" borderId="0"/>
    <xf numFmtId="43" fontId="1" fillId="0" borderId="0" applyFont="0" applyFill="0" applyBorder="0" applyAlignment="0" applyProtection="0"/>
    <xf numFmtId="168" fontId="145" fillId="0" borderId="0" applyFont="0" applyFill="0" applyBorder="0" applyAlignment="0" applyProtection="0"/>
    <xf numFmtId="9" fontId="145" fillId="0" borderId="0" applyFont="0" applyFill="0" applyBorder="0" applyAlignment="0" applyProtection="0"/>
  </cellStyleXfs>
  <cellXfs count="1353">
    <xf numFmtId="0" fontId="0" fillId="0" borderId="0" xfId="0"/>
    <xf numFmtId="0" fontId="5" fillId="0" borderId="0" xfId="0" applyFont="1"/>
    <xf numFmtId="164" fontId="5" fillId="0" borderId="0" xfId="1" applyNumberFormat="1" applyFont="1"/>
    <xf numFmtId="164" fontId="5" fillId="0" borderId="1" xfId="1" applyNumberFormat="1" applyFont="1" applyBorder="1" applyAlignment="1">
      <alignment vertical="center" wrapText="1"/>
    </xf>
    <xf numFmtId="164" fontId="6" fillId="0" borderId="1" xfId="1" applyNumberFormat="1" applyFont="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7" fillId="0" borderId="0" xfId="0" applyFont="1"/>
    <xf numFmtId="164" fontId="5" fillId="2" borderId="1" xfId="1" applyNumberFormat="1" applyFont="1" applyFill="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indent="1"/>
    </xf>
    <xf numFmtId="0" fontId="8" fillId="0" borderId="0" xfId="0" applyFont="1"/>
    <xf numFmtId="0" fontId="5" fillId="0" borderId="1" xfId="0" applyFont="1" applyBorder="1" applyAlignment="1">
      <alignment horizontal="center" vertical="center" wrapText="1"/>
    </xf>
    <xf numFmtId="0" fontId="6" fillId="0" borderId="0" xfId="0" applyFont="1"/>
    <xf numFmtId="0" fontId="9" fillId="0" borderId="0" xfId="0" applyFont="1"/>
    <xf numFmtId="0" fontId="10" fillId="0" borderId="1" xfId="0" applyFont="1" applyBorder="1" applyAlignment="1">
      <alignment horizontal="center" vertical="center" wrapText="1"/>
    </xf>
    <xf numFmtId="43" fontId="10" fillId="0" borderId="1" xfId="0" applyNumberFormat="1" applyFont="1" applyBorder="1" applyAlignment="1">
      <alignment horizontal="right" vertical="center" wrapText="1"/>
    </xf>
    <xf numFmtId="0" fontId="10" fillId="0" borderId="1" xfId="0" applyFont="1" applyBorder="1" applyAlignment="1">
      <alignment horizontal="justify" vertical="center" wrapText="1"/>
    </xf>
    <xf numFmtId="164" fontId="10" fillId="0" borderId="1" xfId="1" applyNumberFormat="1" applyFont="1" applyFill="1" applyBorder="1" applyAlignment="1">
      <alignment horizontal="right" vertical="center" wrapText="1"/>
    </xf>
    <xf numFmtId="0" fontId="0" fillId="0" borderId="1" xfId="0" applyBorder="1"/>
    <xf numFmtId="0" fontId="11" fillId="3" borderId="1" xfId="0" applyFont="1" applyFill="1" applyBorder="1" applyAlignment="1">
      <alignment horizontal="center" vertical="center" wrapText="1"/>
    </xf>
    <xf numFmtId="2" fontId="10" fillId="0" borderId="1" xfId="0" applyNumberFormat="1" applyFont="1" applyBorder="1" applyAlignment="1">
      <alignment horizontal="right" vertical="center" wrapText="1"/>
    </xf>
    <xf numFmtId="164" fontId="10" fillId="0" borderId="1" xfId="1" applyNumberFormat="1" applyFont="1" applyBorder="1" applyAlignment="1">
      <alignment horizontal="right" vertical="center" wrapText="1"/>
    </xf>
    <xf numFmtId="0" fontId="5" fillId="0" borderId="1" xfId="0" applyFont="1" applyBorder="1" applyAlignment="1">
      <alignment horizontal="justify" vertical="center" wrapText="1"/>
    </xf>
    <xf numFmtId="0" fontId="2" fillId="0" borderId="0" xfId="0" applyFont="1"/>
    <xf numFmtId="2" fontId="5" fillId="0" borderId="1" xfId="0" applyNumberFormat="1" applyFont="1" applyBorder="1" applyAlignment="1">
      <alignment horizontal="right" vertical="center" wrapText="1"/>
    </xf>
    <xf numFmtId="0" fontId="5" fillId="0" borderId="7" xfId="0" applyFont="1" applyBorder="1" applyAlignment="1">
      <alignment vertical="center" wrapText="1"/>
    </xf>
    <xf numFmtId="0" fontId="10" fillId="0" borderId="1" xfId="0" applyFont="1" applyBorder="1" applyAlignment="1">
      <alignment vertical="center" wrapText="1"/>
    </xf>
    <xf numFmtId="164" fontId="10" fillId="0" borderId="1" xfId="1" applyNumberFormat="1" applyFont="1" applyBorder="1" applyAlignment="1">
      <alignment horizontal="center" vertical="center" wrapText="1"/>
    </xf>
    <xf numFmtId="0" fontId="3" fillId="3" borderId="1" xfId="0" applyFont="1" applyFill="1" applyBorder="1" applyAlignment="1">
      <alignment vertical="center" wrapText="1"/>
    </xf>
    <xf numFmtId="0" fontId="0" fillId="0" borderId="1" xfId="0" applyBorder="1" applyAlignment="1">
      <alignment horizontal="center" vertical="center" wrapText="1"/>
    </xf>
    <xf numFmtId="0" fontId="3" fillId="0" borderId="0" xfId="0" applyFont="1"/>
    <xf numFmtId="0" fontId="10" fillId="0" borderId="7" xfId="0" applyFont="1" applyBorder="1" applyAlignment="1">
      <alignment horizontal="left" vertical="center" wrapText="1"/>
    </xf>
    <xf numFmtId="0" fontId="10" fillId="0" borderId="0" xfId="0" applyFont="1" applyAlignment="1">
      <alignment horizontal="center" vertical="center" wrapText="1"/>
    </xf>
    <xf numFmtId="0" fontId="10" fillId="0" borderId="1" xfId="0" applyFont="1" applyBorder="1" applyAlignment="1">
      <alignment horizontal="left" vertical="center" wrapText="1"/>
    </xf>
    <xf numFmtId="0" fontId="10" fillId="0" borderId="2" xfId="0" applyFont="1" applyBorder="1" applyAlignment="1">
      <alignment horizontal="center" vertical="center" wrapText="1"/>
    </xf>
    <xf numFmtId="0" fontId="0" fillId="0" borderId="3" xfId="0" applyBorder="1"/>
    <xf numFmtId="0" fontId="0" fillId="0" borderId="0" xfId="0" applyFont="1"/>
    <xf numFmtId="0" fontId="0" fillId="0" borderId="0" xfId="0" applyAlignment="1">
      <alignment horizontal="center" vertical="center"/>
    </xf>
    <xf numFmtId="0" fontId="12" fillId="0" borderId="0" xfId="0" applyFont="1" applyAlignment="1">
      <alignment vertical="center"/>
    </xf>
    <xf numFmtId="0" fontId="0" fillId="5" borderId="1" xfId="0" applyFill="1" applyBorder="1" applyAlignment="1">
      <alignment horizontal="center" vertical="center" wrapText="1"/>
    </xf>
    <xf numFmtId="0" fontId="0" fillId="6" borderId="1" xfId="0" applyFill="1" applyBorder="1" applyAlignment="1">
      <alignment vertical="center" wrapText="1"/>
    </xf>
    <xf numFmtId="0" fontId="0" fillId="0" borderId="0" xfId="0" applyAlignment="1">
      <alignment horizontal="justify"/>
    </xf>
    <xf numFmtId="0" fontId="0" fillId="0" borderId="1" xfId="0" applyBorder="1" applyAlignment="1">
      <alignment horizontal="center" vertical="center"/>
    </xf>
    <xf numFmtId="0" fontId="0" fillId="5" borderId="1" xfId="0" applyFill="1" applyBorder="1" applyAlignment="1">
      <alignment vertical="center" wrapText="1"/>
    </xf>
    <xf numFmtId="164" fontId="13" fillId="0" borderId="1" xfId="1" applyNumberFormat="1" applyFont="1" applyBorder="1" applyAlignment="1">
      <alignment vertical="center" wrapText="1"/>
    </xf>
    <xf numFmtId="49" fontId="3" fillId="0" borderId="1" xfId="0" applyNumberFormat="1" applyFont="1" applyBorder="1" applyAlignment="1">
      <alignment horizontal="center" vertical="center"/>
    </xf>
    <xf numFmtId="0" fontId="3" fillId="5" borderId="1" xfId="0" applyFont="1" applyFill="1" applyBorder="1" applyAlignment="1">
      <alignment vertical="center" wrapText="1"/>
    </xf>
    <xf numFmtId="49" fontId="0" fillId="0" borderId="1" xfId="0" applyNumberFormat="1" applyBorder="1" applyAlignment="1">
      <alignment horizontal="center" vertical="center"/>
    </xf>
    <xf numFmtId="0" fontId="3" fillId="0" borderId="1" xfId="0" applyFont="1" applyBorder="1" applyAlignment="1">
      <alignment horizontal="center" vertical="center"/>
    </xf>
    <xf numFmtId="0" fontId="18" fillId="0" borderId="0" xfId="0" applyFont="1"/>
    <xf numFmtId="0" fontId="5"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0" borderId="1" xfId="0" applyFont="1" applyBorder="1" applyAlignment="1">
      <alignment vertical="center" wrapText="1"/>
    </xf>
    <xf numFmtId="164" fontId="0" fillId="0" borderId="1" xfId="1" applyNumberFormat="1" applyFont="1" applyBorder="1" applyAlignment="1">
      <alignment vertical="center" wrapText="1"/>
    </xf>
    <xf numFmtId="164" fontId="0" fillId="0" borderId="1" xfId="1" applyNumberFormat="1" applyFont="1" applyBorder="1" applyAlignment="1">
      <alignment horizontal="center" vertical="center" wrapText="1"/>
    </xf>
    <xf numFmtId="0" fontId="19" fillId="5" borderId="1" xfId="0" applyFont="1" applyFill="1" applyBorder="1" applyAlignment="1">
      <alignment vertical="center" wrapText="1"/>
    </xf>
    <xf numFmtId="0" fontId="0" fillId="0" borderId="1" xfId="0" applyBorder="1" applyAlignment="1">
      <alignment vertical="center" wrapText="1"/>
    </xf>
    <xf numFmtId="0" fontId="19" fillId="0" borderId="1" xfId="0" applyFont="1" applyBorder="1" applyAlignment="1">
      <alignment horizontal="left" vertical="center"/>
    </xf>
    <xf numFmtId="0" fontId="19" fillId="0" borderId="1" xfId="0" applyFont="1" applyBorder="1" applyAlignment="1">
      <alignment horizontal="center" vertical="center"/>
    </xf>
    <xf numFmtId="0" fontId="19" fillId="0" borderId="1" xfId="0" applyFont="1" applyBorder="1" applyAlignment="1">
      <alignment vertical="center"/>
    </xf>
    <xf numFmtId="0" fontId="20" fillId="0" borderId="0" xfId="0" applyFont="1"/>
    <xf numFmtId="0" fontId="4" fillId="0" borderId="0" xfId="0" applyFont="1" applyAlignment="1">
      <alignment vertical="center"/>
    </xf>
    <xf numFmtId="0" fontId="21" fillId="0" borderId="0" xfId="0" applyFont="1" applyAlignment="1">
      <alignment horizontal="center" vertical="center" wrapText="1"/>
    </xf>
    <xf numFmtId="0" fontId="21" fillId="0" borderId="0" xfId="0" applyFont="1" applyAlignment="1">
      <alignment horizontal="justify" vertical="center" wrapText="1"/>
    </xf>
    <xf numFmtId="0" fontId="22" fillId="0" borderId="1" xfId="0" applyFont="1" applyBorder="1" applyAlignment="1">
      <alignment horizontal="center" vertical="center" wrapText="1"/>
    </xf>
    <xf numFmtId="0" fontId="23" fillId="7" borderId="1" xfId="0" applyFont="1" applyFill="1" applyBorder="1" applyAlignment="1">
      <alignment horizontal="center" vertical="center" wrapText="1"/>
    </xf>
    <xf numFmtId="0" fontId="22" fillId="0" borderId="6"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1" xfId="0" applyFont="1" applyBorder="1" applyAlignment="1">
      <alignment horizontal="left" vertical="center" wrapText="1"/>
    </xf>
    <xf numFmtId="164" fontId="22" fillId="0" borderId="1" xfId="1" applyNumberFormat="1" applyFont="1" applyBorder="1" applyAlignment="1">
      <alignment horizontal="center" vertical="center" wrapText="1"/>
    </xf>
    <xf numFmtId="0" fontId="22" fillId="8" borderId="1" xfId="0" applyFont="1" applyFill="1" applyBorder="1" applyAlignment="1">
      <alignment horizontal="center" vertical="center" wrapText="1"/>
    </xf>
    <xf numFmtId="0" fontId="23" fillId="8" borderId="1" xfId="0" applyFont="1" applyFill="1" applyBorder="1" applyAlignment="1">
      <alignment horizontal="left" vertical="center" wrapText="1"/>
    </xf>
    <xf numFmtId="164" fontId="22" fillId="8" borderId="1" xfId="1" applyNumberFormat="1" applyFont="1" applyFill="1" applyBorder="1" applyAlignment="1">
      <alignment horizontal="center" vertical="center" wrapText="1"/>
    </xf>
    <xf numFmtId="164" fontId="25" fillId="8" borderId="1" xfId="1" applyNumberFormat="1" applyFont="1" applyFill="1" applyBorder="1" applyAlignment="1">
      <alignment horizontal="center" vertical="center" wrapText="1"/>
    </xf>
    <xf numFmtId="0" fontId="23" fillId="0" borderId="1" xfId="0" applyFont="1" applyBorder="1" applyAlignment="1">
      <alignment horizontal="left" vertical="center" wrapText="1"/>
    </xf>
    <xf numFmtId="0" fontId="22" fillId="9" borderId="1" xfId="0" applyFont="1" applyFill="1" applyBorder="1" applyAlignment="1">
      <alignment horizontal="center" vertical="center" wrapText="1"/>
    </xf>
    <xf numFmtId="164" fontId="22" fillId="9" borderId="1" xfId="1" applyNumberFormat="1" applyFont="1" applyFill="1" applyBorder="1" applyAlignment="1">
      <alignment horizontal="center" vertical="center" wrapText="1"/>
    </xf>
    <xf numFmtId="164" fontId="25" fillId="9" borderId="1" xfId="1" applyNumberFormat="1" applyFont="1" applyFill="1" applyBorder="1" applyAlignment="1">
      <alignment horizontal="center" vertical="center" wrapText="1"/>
    </xf>
    <xf numFmtId="0" fontId="25" fillId="0" borderId="1" xfId="0" applyFont="1" applyBorder="1" applyAlignment="1">
      <alignment horizontal="left" vertical="center" wrapText="1"/>
    </xf>
    <xf numFmtId="164" fontId="28" fillId="10" borderId="1" xfId="1" applyNumberFormat="1" applyFont="1" applyFill="1" applyBorder="1" applyAlignment="1">
      <alignment horizontal="justify" vertical="center" wrapText="1"/>
    </xf>
    <xf numFmtId="164" fontId="22" fillId="0" borderId="1" xfId="1" applyNumberFormat="1" applyFont="1" applyBorder="1" applyAlignment="1">
      <alignment vertical="top" wrapText="1"/>
    </xf>
    <xf numFmtId="164" fontId="25" fillId="0" borderId="1" xfId="1" applyNumberFormat="1" applyFont="1" applyBorder="1" applyAlignment="1">
      <alignment horizontal="justify" vertical="center" wrapText="1"/>
    </xf>
    <xf numFmtId="0" fontId="0" fillId="0" borderId="0" xfId="0" applyAlignment="1">
      <alignment wrapText="1"/>
    </xf>
    <xf numFmtId="0" fontId="0" fillId="0" borderId="0" xfId="0" applyAlignment="1">
      <alignment horizontal="center"/>
    </xf>
    <xf numFmtId="0" fontId="29" fillId="0" borderId="0" xfId="0" applyFont="1"/>
    <xf numFmtId="164" fontId="0" fillId="0" borderId="0" xfId="1" applyNumberFormat="1" applyFont="1" applyFill="1"/>
    <xf numFmtId="0" fontId="0" fillId="0" borderId="0" xfId="0" applyAlignment="1">
      <alignment vertical="center"/>
    </xf>
    <xf numFmtId="0" fontId="2" fillId="0" borderId="0" xfId="0" applyFont="1" applyAlignment="1">
      <alignment wrapText="1"/>
    </xf>
    <xf numFmtId="0" fontId="31" fillId="0" borderId="0" xfId="0" applyFont="1" applyAlignment="1">
      <alignment vertical="center"/>
    </xf>
    <xf numFmtId="0" fontId="32" fillId="0" borderId="0" xfId="0" applyFont="1" applyAlignment="1">
      <alignment vertical="center"/>
    </xf>
    <xf numFmtId="0" fontId="33" fillId="0" borderId="0" xfId="0" applyFont="1" applyAlignment="1">
      <alignment vertical="center"/>
    </xf>
    <xf numFmtId="0" fontId="10" fillId="0" borderId="0" xfId="0" applyFont="1" applyAlignment="1">
      <alignment vertical="center" wrapText="1"/>
    </xf>
    <xf numFmtId="0" fontId="0" fillId="0" borderId="1" xfId="0" applyBorder="1" applyAlignment="1">
      <alignment vertical="center"/>
    </xf>
    <xf numFmtId="0" fontId="11" fillId="0" borderId="1" xfId="0" applyFont="1" applyBorder="1" applyAlignment="1">
      <alignment vertical="center" wrapText="1"/>
    </xf>
    <xf numFmtId="164" fontId="10" fillId="0" borderId="1" xfId="1" applyNumberFormat="1" applyFont="1" applyFill="1" applyBorder="1" applyAlignment="1">
      <alignment horizontal="center" vertical="center" wrapText="1"/>
    </xf>
    <xf numFmtId="0" fontId="11" fillId="6" borderId="7" xfId="0" applyFont="1" applyFill="1" applyBorder="1" applyAlignment="1">
      <alignment vertical="center"/>
    </xf>
    <xf numFmtId="0" fontId="11" fillId="6" borderId="5" xfId="0" applyFont="1" applyFill="1" applyBorder="1" applyAlignment="1">
      <alignment vertical="center" wrapText="1"/>
    </xf>
    <xf numFmtId="164" fontId="11" fillId="6" borderId="1" xfId="1" applyNumberFormat="1" applyFont="1" applyFill="1" applyBorder="1" applyAlignment="1">
      <alignment vertical="center" wrapText="1"/>
    </xf>
    <xf numFmtId="164" fontId="11" fillId="6" borderId="1" xfId="1" applyNumberFormat="1" applyFont="1" applyFill="1" applyBorder="1" applyAlignment="1">
      <alignment horizontal="center" vertical="center" wrapText="1"/>
    </xf>
    <xf numFmtId="0" fontId="10" fillId="0" borderId="1" xfId="0" applyFont="1" applyBorder="1" applyAlignment="1">
      <alignment horizontal="left" vertical="center" wrapText="1" indent="1"/>
    </xf>
    <xf numFmtId="164" fontId="0" fillId="0" borderId="0" xfId="1" applyNumberFormat="1" applyFont="1"/>
    <xf numFmtId="0" fontId="9"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9" fillId="0" borderId="1" xfId="0" quotePrefix="1" applyFont="1" applyBorder="1" applyAlignment="1">
      <alignment horizontal="center"/>
    </xf>
    <xf numFmtId="0" fontId="30" fillId="4" borderId="1" xfId="3" applyFont="1" applyFill="1" applyBorder="1" applyAlignment="1">
      <alignment horizontal="left" vertical="center" wrapText="1" indent="1"/>
    </xf>
    <xf numFmtId="3" fontId="7" fillId="4" borderId="1" xfId="4" applyFont="1" applyFill="1" applyAlignment="1">
      <alignment horizontal="center" vertical="center"/>
      <protection locked="0"/>
    </xf>
    <xf numFmtId="0" fontId="9" fillId="4" borderId="1" xfId="0" applyFont="1" applyFill="1" applyBorder="1"/>
    <xf numFmtId="0" fontId="9" fillId="0" borderId="1" xfId="0" applyFont="1" applyBorder="1"/>
    <xf numFmtId="0" fontId="7" fillId="12" borderId="1" xfId="3" applyFont="1" applyFill="1" applyBorder="1" applyAlignment="1">
      <alignment horizontal="left" vertical="center" wrapText="1" indent="2"/>
    </xf>
    <xf numFmtId="3" fontId="7" fillId="0" borderId="1" xfId="4" applyFont="1" applyFill="1" applyAlignment="1">
      <alignment horizontal="center" vertical="center" wrapText="1"/>
      <protection locked="0"/>
    </xf>
    <xf numFmtId="3" fontId="7" fillId="0" borderId="1" xfId="4" quotePrefix="1" applyFont="1" applyFill="1" applyAlignment="1">
      <alignment horizontal="center" vertical="center" wrapText="1"/>
      <protection locked="0"/>
    </xf>
    <xf numFmtId="0" fontId="7" fillId="0" borderId="1" xfId="3" applyFont="1" applyBorder="1" applyAlignment="1">
      <alignment horizontal="left" vertical="center" wrapText="1" indent="3"/>
    </xf>
    <xf numFmtId="3" fontId="7" fillId="0" borderId="1" xfId="4" applyFont="1" applyFill="1" applyAlignment="1">
      <alignment horizontal="center" vertical="center"/>
      <protection locked="0"/>
    </xf>
    <xf numFmtId="0" fontId="9" fillId="0" borderId="1" xfId="0" quotePrefix="1" applyFont="1" applyBorder="1" applyAlignment="1">
      <alignment horizontal="center" vertical="center"/>
    </xf>
    <xf numFmtId="3" fontId="37" fillId="10" borderId="1" xfId="4" applyFont="1" applyFill="1" applyAlignment="1">
      <alignment horizontal="center" vertical="center"/>
      <protection locked="0"/>
    </xf>
    <xf numFmtId="0" fontId="0" fillId="0" borderId="1" xfId="0" quotePrefix="1" applyBorder="1" applyAlignment="1">
      <alignment horizontal="center" vertical="center"/>
    </xf>
    <xf numFmtId="0" fontId="5" fillId="0" borderId="1" xfId="3" applyFont="1" applyBorder="1" applyAlignment="1">
      <alignment horizontal="left" vertical="center" wrapText="1" indent="1"/>
    </xf>
    <xf numFmtId="3" fontId="5" fillId="0" borderId="1" xfId="4" applyFont="1" applyFill="1" applyAlignment="1">
      <alignment horizontal="center" vertical="center"/>
      <protection locked="0"/>
    </xf>
    <xf numFmtId="0" fontId="34" fillId="0" borderId="0" xfId="0" applyFont="1" applyAlignment="1">
      <alignment vertical="center" wrapText="1"/>
    </xf>
    <xf numFmtId="164" fontId="34" fillId="0" borderId="0" xfId="1" applyNumberFormat="1" applyFont="1" applyFill="1" applyAlignment="1">
      <alignment vertical="center" wrapText="1"/>
    </xf>
    <xf numFmtId="0" fontId="10" fillId="0" borderId="9" xfId="0" applyFont="1" applyBorder="1" applyAlignment="1">
      <alignment horizontal="center" vertical="center" wrapText="1"/>
    </xf>
    <xf numFmtId="164" fontId="5" fillId="0" borderId="1" xfId="1" quotePrefix="1" applyNumberFormat="1" applyFont="1" applyFill="1" applyBorder="1"/>
    <xf numFmtId="0" fontId="38" fillId="0" borderId="0" xfId="0" applyFont="1"/>
    <xf numFmtId="164" fontId="0" fillId="0" borderId="1" xfId="1" quotePrefix="1" applyNumberFormat="1" applyFont="1" applyFill="1" applyBorder="1" applyAlignment="1">
      <alignment wrapText="1"/>
    </xf>
    <xf numFmtId="164" fontId="2" fillId="0" borderId="1" xfId="1" quotePrefix="1" applyNumberFormat="1" applyFont="1" applyFill="1" applyBorder="1" applyAlignment="1">
      <alignment wrapText="1"/>
    </xf>
    <xf numFmtId="164" fontId="5" fillId="0" borderId="1" xfId="1" quotePrefix="1" applyNumberFormat="1" applyFont="1" applyFill="1" applyBorder="1" applyAlignment="1">
      <alignment wrapText="1"/>
    </xf>
    <xf numFmtId="164" fontId="0" fillId="0" borderId="1" xfId="1" applyNumberFormat="1" applyFont="1" applyFill="1" applyBorder="1"/>
    <xf numFmtId="164" fontId="0" fillId="0" borderId="1" xfId="1" quotePrefix="1" applyNumberFormat="1" applyFont="1" applyFill="1" applyBorder="1"/>
    <xf numFmtId="0" fontId="11" fillId="0" borderId="0" xfId="0" applyFont="1"/>
    <xf numFmtId="0" fontId="5" fillId="0" borderId="1" xfId="0" applyFont="1" applyBorder="1" applyAlignment="1">
      <alignment horizontal="center" vertical="center"/>
    </xf>
    <xf numFmtId="0" fontId="5" fillId="0" borderId="1" xfId="5" applyFont="1" applyBorder="1" applyAlignment="1">
      <alignment vertical="center" wrapText="1"/>
    </xf>
    <xf numFmtId="0" fontId="5" fillId="4" borderId="1" xfId="0" applyFont="1" applyFill="1" applyBorder="1" applyAlignment="1">
      <alignment horizontal="center"/>
    </xf>
    <xf numFmtId="0" fontId="5" fillId="4" borderId="1" xfId="0" quotePrefix="1" applyFont="1" applyFill="1" applyBorder="1" applyAlignment="1">
      <alignment wrapText="1"/>
    </xf>
    <xf numFmtId="164" fontId="0" fillId="4" borderId="1" xfId="1" quotePrefix="1" applyNumberFormat="1" applyFont="1" applyFill="1" applyBorder="1" applyAlignment="1">
      <alignment wrapText="1"/>
    </xf>
    <xf numFmtId="0" fontId="10" fillId="5" borderId="1" xfId="0" applyFont="1" applyFill="1" applyBorder="1" applyAlignment="1">
      <alignment vertical="center" wrapText="1"/>
    </xf>
    <xf numFmtId="0" fontId="5" fillId="0" borderId="1" xfId="0" applyFont="1" applyBorder="1" applyAlignment="1">
      <alignment horizontal="justify" vertical="top"/>
    </xf>
    <xf numFmtId="0" fontId="5" fillId="0" borderId="1" xfId="5" applyFont="1" applyBorder="1" applyAlignment="1">
      <alignment horizontal="justify" vertical="top"/>
    </xf>
    <xf numFmtId="0" fontId="10" fillId="5" borderId="1" xfId="0" applyFont="1" applyFill="1" applyBorder="1" applyAlignment="1">
      <alignment horizontal="center" vertical="center" wrapText="1"/>
    </xf>
    <xf numFmtId="0" fontId="0" fillId="0" borderId="1" xfId="0" applyBorder="1" applyAlignment="1">
      <alignment horizontal="left" vertical="center" wrapText="1" indent="1"/>
    </xf>
    <xf numFmtId="0" fontId="0" fillId="4" borderId="1" xfId="0" applyFill="1" applyBorder="1" applyAlignment="1">
      <alignment horizontal="center" vertical="center"/>
    </xf>
    <xf numFmtId="0" fontId="3" fillId="4" borderId="1" xfId="0" applyFont="1" applyFill="1" applyBorder="1" applyAlignment="1">
      <alignment horizontal="justify" vertical="top"/>
    </xf>
    <xf numFmtId="0" fontId="5" fillId="0" borderId="1" xfId="0" applyFont="1" applyBorder="1" applyAlignment="1">
      <alignment horizontal="justify" vertical="center"/>
    </xf>
    <xf numFmtId="0" fontId="5" fillId="0" borderId="1" xfId="0" applyFont="1" applyBorder="1" applyAlignment="1">
      <alignment horizontal="justify" vertical="top" wrapText="1"/>
    </xf>
    <xf numFmtId="0" fontId="5" fillId="4" borderId="1" xfId="5" applyFont="1" applyFill="1" applyBorder="1" applyAlignment="1">
      <alignment horizontal="justify" vertical="center"/>
    </xf>
    <xf numFmtId="0" fontId="0" fillId="4" borderId="1" xfId="5" applyFont="1" applyFill="1" applyBorder="1" applyAlignment="1">
      <alignment horizontal="justify" vertical="top"/>
    </xf>
    <xf numFmtId="0" fontId="6" fillId="0" borderId="1" xfId="0" applyFont="1" applyBorder="1" applyAlignment="1">
      <alignment vertical="center"/>
    </xf>
    <xf numFmtId="0" fontId="5" fillId="4" borderId="1" xfId="0" applyFont="1" applyFill="1" applyBorder="1" applyAlignment="1">
      <alignment horizontal="center" vertical="center"/>
    </xf>
    <xf numFmtId="0" fontId="6" fillId="4" borderId="1" xfId="0" applyFont="1" applyFill="1" applyBorder="1" applyAlignment="1">
      <alignment horizontal="justify" vertical="center"/>
    </xf>
    <xf numFmtId="43" fontId="5" fillId="0" borderId="1" xfId="1" quotePrefix="1" applyFont="1" applyFill="1" applyBorder="1" applyAlignment="1">
      <alignment wrapText="1"/>
    </xf>
    <xf numFmtId="0" fontId="10" fillId="5" borderId="1" xfId="0" applyFont="1" applyFill="1" applyBorder="1" applyAlignment="1">
      <alignment horizontal="left" vertical="center" wrapText="1" indent="1"/>
    </xf>
    <xf numFmtId="164" fontId="0" fillId="0" borderId="1" xfId="1" quotePrefix="1" applyNumberFormat="1" applyFont="1" applyBorder="1" applyAlignment="1">
      <alignment wrapText="1"/>
    </xf>
    <xf numFmtId="0" fontId="5" fillId="5" borderId="1" xfId="0" applyFont="1" applyFill="1" applyBorder="1" applyAlignment="1">
      <alignment horizontal="left" vertical="center" wrapText="1" indent="1"/>
    </xf>
    <xf numFmtId="0" fontId="40" fillId="0" borderId="0" xfId="0" applyFont="1" applyAlignment="1">
      <alignment vertical="center"/>
    </xf>
    <xf numFmtId="0" fontId="10" fillId="5" borderId="0" xfId="0" applyFont="1" applyFill="1" applyAlignment="1">
      <alignment vertical="center" wrapText="1"/>
    </xf>
    <xf numFmtId="164" fontId="0" fillId="5" borderId="1" xfId="1" applyNumberFormat="1" applyFont="1" applyFill="1" applyBorder="1" applyAlignment="1">
      <alignment vertical="center" wrapText="1"/>
    </xf>
    <xf numFmtId="0" fontId="35" fillId="5" borderId="1" xfId="0" applyFont="1" applyFill="1" applyBorder="1" applyAlignment="1">
      <alignment vertical="center" wrapText="1"/>
    </xf>
    <xf numFmtId="164" fontId="41" fillId="5" borderId="1" xfId="1" applyNumberFormat="1" applyFont="1" applyFill="1" applyBorder="1" applyAlignment="1">
      <alignment vertical="center" wrapText="1"/>
    </xf>
    <xf numFmtId="0" fontId="10" fillId="0" borderId="1" xfId="0" applyFont="1" applyBorder="1" applyAlignment="1">
      <alignment horizontal="center" vertical="center"/>
    </xf>
    <xf numFmtId="0" fontId="10" fillId="0" borderId="1" xfId="0" applyFont="1" applyBorder="1" applyAlignment="1">
      <alignment vertical="center"/>
    </xf>
    <xf numFmtId="164" fontId="10" fillId="0" borderId="1" xfId="1" applyNumberFormat="1" applyFont="1" applyFill="1" applyBorder="1" applyAlignment="1">
      <alignment vertical="center"/>
    </xf>
    <xf numFmtId="43" fontId="10" fillId="0" borderId="1" xfId="1" applyFont="1" applyFill="1" applyBorder="1" applyAlignment="1">
      <alignment vertical="center"/>
    </xf>
    <xf numFmtId="0" fontId="43" fillId="0" borderId="0" xfId="0" applyFont="1" applyAlignment="1">
      <alignment vertical="center"/>
    </xf>
    <xf numFmtId="0" fontId="43" fillId="0" borderId="0" xfId="0" applyFont="1"/>
    <xf numFmtId="0" fontId="43" fillId="0" borderId="0" xfId="0" applyFont="1" applyAlignment="1">
      <alignment vertical="center" wrapText="1"/>
    </xf>
    <xf numFmtId="0" fontId="46" fillId="0" borderId="18" xfId="0" applyFont="1" applyBorder="1" applyAlignment="1">
      <alignment horizontal="center" vertical="center" wrapText="1"/>
    </xf>
    <xf numFmtId="0" fontId="46" fillId="0" borderId="19" xfId="0" applyFont="1" applyBorder="1" applyAlignment="1">
      <alignment horizontal="center" vertical="center" wrapText="1"/>
    </xf>
    <xf numFmtId="0" fontId="46" fillId="0" borderId="12" xfId="0" applyFont="1" applyBorder="1" applyAlignment="1">
      <alignment vertical="center" wrapText="1"/>
    </xf>
    <xf numFmtId="0" fontId="46" fillId="0" borderId="21" xfId="0" applyFont="1" applyBorder="1" applyAlignment="1">
      <alignment horizontal="center" vertical="center" wrapText="1"/>
    </xf>
    <xf numFmtId="49" fontId="46" fillId="0" borderId="18" xfId="0" applyNumberFormat="1" applyFont="1" applyBorder="1" applyAlignment="1">
      <alignment horizontal="center" vertical="center" wrapText="1"/>
    </xf>
    <xf numFmtId="0" fontId="46" fillId="0" borderId="19" xfId="0" applyFont="1" applyBorder="1" applyAlignment="1">
      <alignment vertical="center" wrapText="1"/>
    </xf>
    <xf numFmtId="0" fontId="46" fillId="0" borderId="27" xfId="0" applyFont="1" applyBorder="1" applyAlignment="1">
      <alignment vertical="center" wrapText="1"/>
    </xf>
    <xf numFmtId="49" fontId="47" fillId="5" borderId="26" xfId="0" applyNumberFormat="1" applyFont="1" applyFill="1" applyBorder="1" applyAlignment="1">
      <alignment horizontal="center" vertical="center" wrapText="1"/>
    </xf>
    <xf numFmtId="49" fontId="46" fillId="0" borderId="26" xfId="0" applyNumberFormat="1" applyFont="1" applyBorder="1" applyAlignment="1">
      <alignment horizontal="center" vertical="center" wrapText="1"/>
    </xf>
    <xf numFmtId="0" fontId="48" fillId="0" borderId="27" xfId="0" applyFont="1" applyBorder="1" applyAlignment="1">
      <alignment vertical="center" wrapText="1"/>
    </xf>
    <xf numFmtId="0" fontId="49" fillId="0" borderId="0" xfId="0" applyFont="1" applyAlignment="1">
      <alignment vertical="center"/>
    </xf>
    <xf numFmtId="0" fontId="0" fillId="0" borderId="1" xfId="0" applyBorder="1" applyAlignment="1">
      <alignment horizontal="center"/>
    </xf>
    <xf numFmtId="0" fontId="5" fillId="0" borderId="1" xfId="0" applyFont="1" applyBorder="1" applyAlignment="1">
      <alignment wrapText="1"/>
    </xf>
    <xf numFmtId="0" fontId="51" fillId="0" borderId="1" xfId="0" applyFont="1" applyBorder="1" applyAlignment="1">
      <alignment horizontal="center" vertical="center"/>
    </xf>
    <xf numFmtId="0" fontId="51" fillId="0" borderId="1" xfId="0" applyFont="1" applyBorder="1" applyAlignment="1">
      <alignment wrapText="1"/>
    </xf>
    <xf numFmtId="0" fontId="52" fillId="0" borderId="0" xfId="0" applyFont="1" applyAlignment="1">
      <alignment vertical="center"/>
    </xf>
    <xf numFmtId="0" fontId="52" fillId="0" borderId="0" xfId="0" applyFont="1"/>
    <xf numFmtId="49" fontId="53" fillId="0" borderId="26" xfId="0" applyNumberFormat="1" applyFont="1" applyBorder="1" applyAlignment="1">
      <alignment horizontal="center" vertical="center" wrapText="1"/>
    </xf>
    <xf numFmtId="0" fontId="53" fillId="0" borderId="27" xfId="0" applyFont="1" applyBorder="1" applyAlignment="1">
      <alignment horizontal="left" vertical="center" wrapText="1" indent="1"/>
    </xf>
    <xf numFmtId="0" fontId="1" fillId="0" borderId="28" xfId="0" applyFont="1" applyBorder="1" applyAlignment="1">
      <alignment vertical="center" wrapText="1"/>
    </xf>
    <xf numFmtId="0" fontId="46" fillId="0" borderId="27" xfId="0" applyFont="1" applyBorder="1" applyAlignment="1">
      <alignment horizontal="center" vertical="center" wrapText="1"/>
    </xf>
    <xf numFmtId="0" fontId="46" fillId="0" borderId="26" xfId="0" applyFont="1" applyBorder="1" applyAlignment="1">
      <alignment horizontal="center" vertical="center" wrapText="1"/>
    </xf>
    <xf numFmtId="49" fontId="55" fillId="0" borderId="18" xfId="0" applyNumberFormat="1" applyFont="1" applyBorder="1" applyAlignment="1">
      <alignment horizontal="center" vertical="center" wrapText="1"/>
    </xf>
    <xf numFmtId="0" fontId="55" fillId="0" borderId="19" xfId="0" applyFont="1" applyBorder="1" applyAlignment="1">
      <alignment vertical="center" wrapText="1"/>
    </xf>
    <xf numFmtId="0" fontId="46" fillId="0" borderId="27" xfId="0" applyFont="1" applyBorder="1" applyAlignment="1">
      <alignment horizontal="left" vertical="center" wrapText="1" indent="1"/>
    </xf>
    <xf numFmtId="49" fontId="55" fillId="0" borderId="26" xfId="0" applyNumberFormat="1" applyFont="1" applyBorder="1" applyAlignment="1">
      <alignment horizontal="center" vertical="center" wrapText="1"/>
    </xf>
    <xf numFmtId="0" fontId="55" fillId="0" borderId="27" xfId="0" applyFont="1" applyBorder="1" applyAlignment="1">
      <alignment vertical="center" wrapText="1"/>
    </xf>
    <xf numFmtId="0" fontId="56" fillId="0" borderId="27" xfId="0" applyFont="1" applyBorder="1" applyAlignment="1">
      <alignment vertical="center" wrapText="1"/>
    </xf>
    <xf numFmtId="0" fontId="1" fillId="0" borderId="0" xfId="0" applyFont="1" applyAlignment="1">
      <alignment vertical="center"/>
    </xf>
    <xf numFmtId="0" fontId="46" fillId="0" borderId="0" xfId="0" applyFont="1" applyAlignment="1">
      <alignment vertical="center" wrapText="1"/>
    </xf>
    <xf numFmtId="0" fontId="46" fillId="0" borderId="23" xfId="0" applyFont="1" applyBorder="1" applyAlignment="1">
      <alignment horizontal="center" vertical="center" wrapText="1"/>
    </xf>
    <xf numFmtId="0" fontId="48" fillId="0" borderId="19" xfId="0" applyFont="1" applyBorder="1" applyAlignment="1">
      <alignment vertical="center" wrapText="1"/>
    </xf>
    <xf numFmtId="0" fontId="57" fillId="0" borderId="27" xfId="0" applyFont="1" applyBorder="1" applyAlignment="1">
      <alignment vertical="center" wrapText="1"/>
    </xf>
    <xf numFmtId="0" fontId="43" fillId="0" borderId="12" xfId="0" applyFont="1" applyBorder="1"/>
    <xf numFmtId="0" fontId="56" fillId="0" borderId="18" xfId="0" applyFont="1" applyBorder="1" applyAlignment="1">
      <alignment horizontal="center" vertical="center"/>
    </xf>
    <xf numFmtId="0" fontId="56" fillId="0" borderId="19" xfId="0" applyFont="1" applyBorder="1" applyAlignment="1">
      <alignment horizontal="center" vertical="center"/>
    </xf>
    <xf numFmtId="0" fontId="46" fillId="0" borderId="23" xfId="0" applyFont="1" applyBorder="1" applyAlignment="1">
      <alignment vertical="center"/>
    </xf>
    <xf numFmtId="0" fontId="46" fillId="7" borderId="23" xfId="0" applyFont="1" applyFill="1" applyBorder="1" applyAlignment="1">
      <alignment vertical="center" wrapText="1"/>
    </xf>
    <xf numFmtId="0" fontId="46" fillId="0" borderId="20" xfId="0" applyFont="1" applyBorder="1" applyAlignment="1">
      <alignment vertical="center"/>
    </xf>
    <xf numFmtId="0" fontId="46" fillId="0" borderId="30" xfId="0" applyFont="1" applyBorder="1" applyAlignment="1">
      <alignment vertical="center"/>
    </xf>
    <xf numFmtId="0" fontId="46" fillId="0" borderId="22" xfId="0" applyFont="1" applyBorder="1" applyAlignment="1">
      <alignment vertical="center" wrapText="1"/>
    </xf>
    <xf numFmtId="0" fontId="46" fillId="7" borderId="0" xfId="0" applyFont="1" applyFill="1" applyAlignment="1">
      <alignment vertical="top" wrapText="1"/>
    </xf>
    <xf numFmtId="0" fontId="53" fillId="0" borderId="24" xfId="0" applyFont="1" applyBorder="1" applyAlignment="1">
      <alignment horizontal="center" vertical="center" wrapText="1"/>
    </xf>
    <xf numFmtId="0" fontId="46" fillId="7" borderId="0" xfId="0" applyFont="1" applyFill="1" applyAlignment="1">
      <alignment vertical="center" wrapText="1"/>
    </xf>
    <xf numFmtId="0" fontId="46" fillId="7" borderId="12" xfId="0" applyFont="1" applyFill="1" applyBorder="1" applyAlignment="1">
      <alignment vertical="center" wrapText="1"/>
    </xf>
    <xf numFmtId="49" fontId="56" fillId="0" borderId="18" xfId="0" applyNumberFormat="1" applyFont="1" applyBorder="1" applyAlignment="1">
      <alignment horizontal="center" vertical="center" wrapText="1"/>
    </xf>
    <xf numFmtId="0" fontId="56" fillId="0" borderId="19" xfId="0" applyFont="1" applyBorder="1" applyAlignment="1">
      <alignment vertical="center" wrapText="1"/>
    </xf>
    <xf numFmtId="49" fontId="60" fillId="0" borderId="26" xfId="0" applyNumberFormat="1" applyFont="1" applyBorder="1" applyAlignment="1">
      <alignment horizontal="center" vertical="center" wrapText="1"/>
    </xf>
    <xf numFmtId="0" fontId="60" fillId="0" borderId="27" xfId="0" applyFont="1" applyBorder="1" applyAlignment="1">
      <alignment horizontal="left" vertical="center" wrapText="1" indent="1"/>
    </xf>
    <xf numFmtId="0" fontId="60" fillId="0" borderId="27" xfId="0" applyFont="1" applyBorder="1" applyAlignment="1">
      <alignment horizontal="left" vertical="center" wrapText="1" indent="5"/>
    </xf>
    <xf numFmtId="0" fontId="60" fillId="0" borderId="27" xfId="0" applyFont="1" applyBorder="1" applyAlignment="1">
      <alignment horizontal="left" vertical="center" wrapText="1" indent="10"/>
    </xf>
    <xf numFmtId="49" fontId="56" fillId="0" borderId="26" xfId="0" applyNumberFormat="1" applyFont="1" applyBorder="1" applyAlignment="1">
      <alignment horizontal="center" vertical="center" wrapText="1"/>
    </xf>
    <xf numFmtId="0" fontId="61" fillId="0" borderId="0" xfId="0" applyFont="1" applyAlignment="1">
      <alignment vertical="center"/>
    </xf>
    <xf numFmtId="0" fontId="43" fillId="0" borderId="28" xfId="0" applyFont="1" applyBorder="1"/>
    <xf numFmtId="0" fontId="62" fillId="0" borderId="0" xfId="0" applyFont="1" applyAlignment="1">
      <alignment vertical="center"/>
    </xf>
    <xf numFmtId="0" fontId="16" fillId="0" borderId="27" xfId="0" applyFont="1" applyBorder="1" applyAlignment="1">
      <alignment horizontal="center" vertical="center" wrapText="1"/>
    </xf>
    <xf numFmtId="0" fontId="16" fillId="0" borderId="27" xfId="0" applyFont="1" applyBorder="1" applyAlignment="1">
      <alignment horizontal="center" vertical="center"/>
    </xf>
    <xf numFmtId="0" fontId="62" fillId="0" borderId="0" xfId="0" applyFont="1"/>
    <xf numFmtId="0" fontId="16" fillId="7" borderId="28" xfId="0" applyFont="1" applyFill="1" applyBorder="1" applyAlignment="1">
      <alignment vertical="center"/>
    </xf>
    <xf numFmtId="0" fontId="16" fillId="0" borderId="12" xfId="0" applyFont="1" applyBorder="1" applyAlignment="1">
      <alignment vertical="center" wrapText="1"/>
    </xf>
    <xf numFmtId="0" fontId="16" fillId="0" borderId="27" xfId="0" applyFont="1" applyBorder="1" applyAlignment="1">
      <alignment vertical="center" wrapText="1"/>
    </xf>
    <xf numFmtId="0" fontId="16" fillId="0" borderId="19" xfId="0" applyFont="1" applyBorder="1" applyAlignment="1">
      <alignment horizontal="center" vertical="center" wrapText="1"/>
    </xf>
    <xf numFmtId="0" fontId="16" fillId="0" borderId="12" xfId="0" applyFont="1" applyBorder="1" applyAlignment="1">
      <alignment horizontal="center" vertical="center" wrapText="1"/>
    </xf>
    <xf numFmtId="49" fontId="63" fillId="0" borderId="18" xfId="0" applyNumberFormat="1" applyFont="1" applyBorder="1" applyAlignment="1">
      <alignment horizontal="center" vertical="center" wrapText="1"/>
    </xf>
    <xf numFmtId="49" fontId="63" fillId="0" borderId="26" xfId="0" applyNumberFormat="1" applyFont="1" applyBorder="1" applyAlignment="1">
      <alignment horizontal="center" vertical="center" wrapText="1"/>
    </xf>
    <xf numFmtId="49" fontId="64" fillId="0" borderId="26" xfId="0" applyNumberFormat="1" applyFont="1" applyBorder="1" applyAlignment="1">
      <alignment horizontal="center" vertical="center" wrapText="1"/>
    </xf>
    <xf numFmtId="0" fontId="15" fillId="5" borderId="27" xfId="0" applyFont="1" applyFill="1" applyBorder="1" applyAlignment="1">
      <alignment horizontal="left" vertical="center" wrapText="1" indent="2"/>
    </xf>
    <xf numFmtId="49" fontId="65" fillId="0" borderId="26" xfId="0" applyNumberFormat="1" applyFont="1" applyBorder="1" applyAlignment="1">
      <alignment horizontal="center" vertical="center" wrapText="1"/>
    </xf>
    <xf numFmtId="0" fontId="66" fillId="0" borderId="27" xfId="0" applyFont="1" applyBorder="1" applyAlignment="1">
      <alignment vertical="center" wrapText="1"/>
    </xf>
    <xf numFmtId="0" fontId="0" fillId="0" borderId="0" xfId="0" applyAlignment="1">
      <alignment vertical="center" wrapText="1"/>
    </xf>
    <xf numFmtId="0" fontId="68" fillId="0" borderId="0" xfId="0" applyFont="1" applyAlignment="1">
      <alignment vertical="center" wrapText="1"/>
    </xf>
    <xf numFmtId="0" fontId="70" fillId="0" borderId="0" xfId="0" applyFont="1"/>
    <xf numFmtId="0" fontId="3" fillId="0" borderId="1" xfId="0" applyFont="1" applyBorder="1" applyAlignment="1">
      <alignment horizontal="center" vertical="center" wrapText="1"/>
    </xf>
    <xf numFmtId="0" fontId="72" fillId="0" borderId="1" xfId="0" applyFont="1" applyBorder="1" applyAlignment="1">
      <alignment horizontal="center" vertical="center" wrapText="1"/>
    </xf>
    <xf numFmtId="164" fontId="0" fillId="0" borderId="5" xfId="1" applyNumberFormat="1" applyFont="1" applyFill="1" applyBorder="1" applyAlignment="1">
      <alignment wrapText="1"/>
    </xf>
    <xf numFmtId="164" fontId="0" fillId="0" borderId="1" xfId="1" applyNumberFormat="1" applyFont="1" applyFill="1" applyBorder="1" applyAlignment="1">
      <alignment wrapText="1"/>
    </xf>
    <xf numFmtId="43" fontId="0" fillId="0" borderId="1" xfId="1" applyFont="1" applyFill="1" applyBorder="1" applyAlignment="1">
      <alignment wrapText="1"/>
    </xf>
    <xf numFmtId="0" fontId="5" fillId="0" borderId="1" xfId="0" applyFont="1" applyBorder="1" applyAlignment="1">
      <alignment horizontal="left" vertical="center" wrapText="1"/>
    </xf>
    <xf numFmtId="0" fontId="73" fillId="0" borderId="1" xfId="0" applyFont="1" applyBorder="1" applyAlignment="1">
      <alignment horizontal="center" vertical="center" wrapText="1"/>
    </xf>
    <xf numFmtId="0" fontId="73" fillId="0" borderId="1" xfId="0" applyFont="1" applyBorder="1" applyAlignment="1">
      <alignment vertical="center" wrapText="1"/>
    </xf>
    <xf numFmtId="0" fontId="3" fillId="7" borderId="8" xfId="0" applyFont="1" applyFill="1" applyBorder="1" applyAlignment="1">
      <alignment wrapText="1"/>
    </xf>
    <xf numFmtId="0" fontId="0" fillId="7" borderId="1" xfId="0" applyFill="1" applyBorder="1" applyAlignment="1">
      <alignment wrapText="1"/>
    </xf>
    <xf numFmtId="0" fontId="0" fillId="0" borderId="5" xfId="0" applyBorder="1" applyAlignment="1">
      <alignment wrapText="1"/>
    </xf>
    <xf numFmtId="0" fontId="0" fillId="0" borderId="1" xfId="0" applyBorder="1" applyAlignment="1">
      <alignment wrapText="1"/>
    </xf>
    <xf numFmtId="0" fontId="0" fillId="7" borderId="10" xfId="0" applyFill="1" applyBorder="1" applyAlignment="1">
      <alignment wrapText="1"/>
    </xf>
    <xf numFmtId="0" fontId="5" fillId="7" borderId="5" xfId="0" applyFont="1" applyFill="1" applyBorder="1" applyAlignment="1">
      <alignment horizontal="left" vertical="center" wrapText="1"/>
    </xf>
    <xf numFmtId="0" fontId="0" fillId="7" borderId="11" xfId="0" applyFill="1" applyBorder="1" applyAlignment="1">
      <alignment wrapText="1"/>
    </xf>
    <xf numFmtId="0" fontId="74" fillId="7" borderId="5" xfId="0" applyFont="1" applyFill="1" applyBorder="1" applyAlignment="1">
      <alignment horizontal="left" vertical="center" wrapText="1" indent="3"/>
    </xf>
    <xf numFmtId="0" fontId="0" fillId="7" borderId="9" xfId="0" applyFill="1" applyBorder="1" applyAlignment="1">
      <alignment wrapText="1"/>
    </xf>
    <xf numFmtId="0" fontId="0" fillId="20" borderId="1" xfId="0" applyFill="1" applyBorder="1" applyAlignment="1">
      <alignment wrapText="1"/>
    </xf>
    <xf numFmtId="0" fontId="3" fillId="7" borderId="1" xfId="0" applyFont="1" applyFill="1" applyBorder="1" applyAlignment="1">
      <alignment horizontal="center" vertical="center" wrapText="1"/>
    </xf>
    <xf numFmtId="0" fontId="0" fillId="7" borderId="1" xfId="0" applyFill="1" applyBorder="1" applyAlignment="1">
      <alignment horizontal="center" vertical="center"/>
    </xf>
    <xf numFmtId="0" fontId="68" fillId="0" borderId="0" xfId="0" applyFont="1" applyAlignment="1">
      <alignment wrapText="1"/>
    </xf>
    <xf numFmtId="0" fontId="75" fillId="0" borderId="0" xfId="0" applyFont="1"/>
    <xf numFmtId="0" fontId="55" fillId="0" borderId="0" xfId="0" applyFont="1" applyAlignment="1">
      <alignment vertical="center" wrapText="1"/>
    </xf>
    <xf numFmtId="0" fontId="46" fillId="0" borderId="0" xfId="0" applyFont="1" applyAlignment="1">
      <alignment horizontal="center" vertical="center" wrapText="1"/>
    </xf>
    <xf numFmtId="0" fontId="56" fillId="0" borderId="0" xfId="0" applyFont="1" applyAlignment="1">
      <alignment vertical="center" wrapText="1"/>
    </xf>
    <xf numFmtId="0" fontId="76" fillId="0" borderId="0" xfId="0" applyFont="1" applyAlignment="1">
      <alignment vertical="center" wrapText="1"/>
    </xf>
    <xf numFmtId="0" fontId="54" fillId="0" borderId="1" xfId="0" applyFont="1" applyBorder="1" applyAlignment="1">
      <alignment horizontal="center" vertical="center" wrapText="1"/>
    </xf>
    <xf numFmtId="0" fontId="77" fillId="0" borderId="1" xfId="0" applyFont="1" applyBorder="1" applyAlignment="1">
      <alignment horizontal="center" vertical="center" wrapText="1"/>
    </xf>
    <xf numFmtId="0" fontId="53" fillId="0" borderId="1" xfId="0" applyFont="1" applyBorder="1" applyAlignment="1">
      <alignment horizontal="center" vertical="center" wrapText="1"/>
    </xf>
    <xf numFmtId="0" fontId="56" fillId="0" borderId="1" xfId="0" applyFont="1" applyBorder="1" applyAlignment="1">
      <alignment horizontal="center" vertical="center" wrapText="1"/>
    </xf>
    <xf numFmtId="0" fontId="56" fillId="0" borderId="1" xfId="0" applyFont="1" applyBorder="1" applyAlignment="1">
      <alignment vertical="center" wrapText="1"/>
    </xf>
    <xf numFmtId="0" fontId="56" fillId="0" borderId="5" xfId="0" applyFont="1" applyBorder="1" applyAlignment="1">
      <alignment vertical="center" wrapText="1"/>
    </xf>
    <xf numFmtId="0" fontId="78" fillId="0" borderId="1" xfId="0" applyFont="1" applyBorder="1" applyAlignment="1">
      <alignment vertical="center" wrapText="1"/>
    </xf>
    <xf numFmtId="0" fontId="78" fillId="4" borderId="1" xfId="0" applyFont="1" applyFill="1" applyBorder="1" applyAlignment="1">
      <alignment vertical="center" wrapText="1"/>
    </xf>
    <xf numFmtId="0" fontId="60" fillId="0" borderId="1" xfId="0" applyFont="1" applyBorder="1" applyAlignment="1">
      <alignment vertical="center" wrapText="1"/>
    </xf>
    <xf numFmtId="0" fontId="60" fillId="4" borderId="1" xfId="0" applyFont="1" applyFill="1" applyBorder="1" applyAlignment="1">
      <alignment vertical="center" wrapText="1"/>
    </xf>
    <xf numFmtId="0" fontId="77" fillId="0" borderId="1" xfId="0" applyFont="1" applyBorder="1" applyAlignment="1">
      <alignment vertical="center" wrapText="1"/>
    </xf>
    <xf numFmtId="0" fontId="68" fillId="0" borderId="0" xfId="0" applyFont="1"/>
    <xf numFmtId="0" fontId="79" fillId="0" borderId="0" xfId="0" applyFont="1" applyAlignment="1">
      <alignment vertical="center" wrapText="1"/>
    </xf>
    <xf numFmtId="0" fontId="71" fillId="0" borderId="1" xfId="0" applyFont="1" applyBorder="1" applyAlignment="1">
      <alignment horizontal="center" vertical="center" wrapText="1"/>
    </xf>
    <xf numFmtId="0" fontId="79" fillId="0" borderId="1" xfId="0" applyFont="1" applyBorder="1" applyAlignment="1">
      <alignment horizontal="center" vertical="center" wrapText="1"/>
    </xf>
    <xf numFmtId="0" fontId="79" fillId="0" borderId="1" xfId="0" applyFont="1" applyBorder="1" applyAlignment="1">
      <alignment vertical="center" wrapText="1"/>
    </xf>
    <xf numFmtId="0" fontId="42" fillId="0" borderId="1" xfId="0" applyFont="1" applyBorder="1" applyAlignment="1">
      <alignment vertical="center" wrapText="1"/>
    </xf>
    <xf numFmtId="0" fontId="0" fillId="0" borderId="0" xfId="0" quotePrefix="1" applyAlignment="1">
      <alignment horizontal="left" vertical="center" indent="5"/>
    </xf>
    <xf numFmtId="0" fontId="46" fillId="7" borderId="6" xfId="0" applyFont="1" applyFill="1" applyBorder="1" applyAlignment="1">
      <alignment horizontal="center" vertical="center" wrapText="1"/>
    </xf>
    <xf numFmtId="0" fontId="46" fillId="7" borderId="11" xfId="0" applyFont="1" applyFill="1" applyBorder="1" applyAlignment="1">
      <alignment horizontal="center" vertical="center" wrapText="1"/>
    </xf>
    <xf numFmtId="0" fontId="46" fillId="7" borderId="8" xfId="0" applyFont="1" applyFill="1" applyBorder="1" applyAlignment="1">
      <alignment horizontal="center" vertical="center" wrapText="1"/>
    </xf>
    <xf numFmtId="0" fontId="46" fillId="0" borderId="1" xfId="0" applyFont="1" applyBorder="1" applyAlignment="1">
      <alignment horizontal="center" vertical="center" wrapText="1"/>
    </xf>
    <xf numFmtId="0" fontId="46" fillId="0" borderId="1" xfId="0" applyFont="1" applyBorder="1" applyAlignment="1">
      <alignment vertical="center" wrapText="1"/>
    </xf>
    <xf numFmtId="0" fontId="0" fillId="0" borderId="9" xfId="0" applyBorder="1"/>
    <xf numFmtId="0" fontId="0" fillId="0" borderId="15" xfId="0" applyBorder="1"/>
    <xf numFmtId="0" fontId="0" fillId="0" borderId="7" xfId="0" applyBorder="1"/>
    <xf numFmtId="0" fontId="19" fillId="0" borderId="1" xfId="0" applyFont="1" applyBorder="1"/>
    <xf numFmtId="0" fontId="57" fillId="0" borderId="1" xfId="0" applyFont="1" applyBorder="1" applyAlignment="1">
      <alignment vertical="center" wrapText="1"/>
    </xf>
    <xf numFmtId="0" fontId="46" fillId="7" borderId="1" xfId="0" applyFont="1" applyFill="1" applyBorder="1" applyAlignment="1">
      <alignment horizontal="center" vertical="center" wrapText="1"/>
    </xf>
    <xf numFmtId="0" fontId="83" fillId="0" borderId="0" xfId="0" applyFont="1"/>
    <xf numFmtId="0" fontId="3" fillId="0" borderId="1" xfId="0" applyFont="1" applyBorder="1" applyAlignment="1">
      <alignment vertical="center"/>
    </xf>
    <xf numFmtId="0" fontId="69" fillId="0" borderId="0" xfId="0" applyFont="1" applyAlignment="1">
      <alignment wrapText="1"/>
    </xf>
    <xf numFmtId="0" fontId="20" fillId="0" borderId="0" xfId="0" applyFont="1" applyAlignment="1">
      <alignment wrapText="1"/>
    </xf>
    <xf numFmtId="0" fontId="32" fillId="0" borderId="0" xfId="0" applyFont="1"/>
    <xf numFmtId="0" fontId="58" fillId="0" borderId="9" xfId="0" applyFont="1" applyBorder="1" applyAlignment="1">
      <alignment horizontal="center" vertical="center" wrapText="1"/>
    </xf>
    <xf numFmtId="0" fontId="58" fillId="0" borderId="10" xfId="0" applyFont="1" applyBorder="1" applyAlignment="1">
      <alignment vertical="center" wrapText="1"/>
    </xf>
    <xf numFmtId="0" fontId="7" fillId="0" borderId="5" xfId="0" applyFont="1" applyBorder="1" applyAlignment="1">
      <alignment horizontal="left" vertical="center" wrapText="1"/>
    </xf>
    <xf numFmtId="0" fontId="84" fillId="0" borderId="5" xfId="0" applyFont="1" applyBorder="1" applyAlignment="1">
      <alignment horizontal="left" vertical="center" wrapText="1" indent="3"/>
    </xf>
    <xf numFmtId="0" fontId="85" fillId="0" borderId="5" xfId="0" applyFont="1" applyBorder="1" applyAlignment="1">
      <alignment horizontal="left" vertical="center" wrapText="1" indent="3"/>
    </xf>
    <xf numFmtId="0" fontId="45" fillId="0" borderId="10" xfId="0" applyFont="1" applyBorder="1" applyAlignment="1">
      <alignment horizontal="center" vertical="center" wrapText="1"/>
    </xf>
    <xf numFmtId="0" fontId="5" fillId="0" borderId="1" xfId="0" applyFont="1" applyBorder="1" applyAlignment="1">
      <alignment horizontal="center"/>
    </xf>
    <xf numFmtId="9" fontId="0" fillId="0" borderId="1" xfId="0" applyNumberFormat="1" applyBorder="1" applyAlignment="1">
      <alignment horizontal="center" wrapText="1"/>
    </xf>
    <xf numFmtId="0" fontId="0" fillId="0" borderId="1" xfId="0" applyBorder="1" applyAlignment="1">
      <alignment horizontal="center" wrapText="1"/>
    </xf>
    <xf numFmtId="0" fontId="6" fillId="0" borderId="1" xfId="0" applyFont="1" applyBorder="1" applyAlignment="1">
      <alignment horizontal="center" wrapText="1"/>
    </xf>
    <xf numFmtId="0" fontId="3" fillId="0" borderId="1" xfId="0" applyFont="1" applyBorder="1" applyAlignment="1">
      <alignment horizontal="center" wrapText="1"/>
    </xf>
    <xf numFmtId="0" fontId="86" fillId="0" borderId="0" xfId="0" applyFont="1"/>
    <xf numFmtId="0" fontId="59"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0" fontId="36" fillId="0" borderId="1" xfId="0" applyFont="1" applyBorder="1" applyAlignment="1">
      <alignment horizontal="center" vertical="center" wrapText="1"/>
    </xf>
    <xf numFmtId="0" fontId="13" fillId="0" borderId="0" xfId="0" applyFont="1" applyAlignment="1">
      <alignment vertical="center" wrapText="1"/>
    </xf>
    <xf numFmtId="0" fontId="36" fillId="0" borderId="1" xfId="0" applyFont="1" applyBorder="1" applyAlignment="1">
      <alignment vertical="center" wrapText="1"/>
    </xf>
    <xf numFmtId="0" fontId="20" fillId="0" borderId="1" xfId="0" applyFont="1" applyBorder="1" applyAlignment="1">
      <alignment vertical="center" wrapText="1"/>
    </xf>
    <xf numFmtId="0" fontId="88" fillId="0" borderId="0" xfId="0" applyFont="1"/>
    <xf numFmtId="0" fontId="13" fillId="0" borderId="0" xfId="0" applyFont="1"/>
    <xf numFmtId="0" fontId="89" fillId="0" borderId="1" xfId="0" applyFont="1" applyBorder="1" applyAlignment="1">
      <alignment vertical="center" wrapText="1"/>
    </xf>
    <xf numFmtId="0" fontId="41" fillId="0" borderId="0" xfId="0" applyFont="1" applyAlignment="1">
      <alignment horizontal="center" vertical="center"/>
    </xf>
    <xf numFmtId="164" fontId="36" fillId="0" borderId="1" xfId="1" applyNumberFormat="1" applyFont="1" applyBorder="1" applyAlignment="1">
      <alignment vertical="center" wrapText="1"/>
    </xf>
    <xf numFmtId="0" fontId="89" fillId="0" borderId="1" xfId="0" applyFont="1" applyBorder="1" applyAlignment="1">
      <alignment vertical="center"/>
    </xf>
    <xf numFmtId="0" fontId="0" fillId="0" borderId="0" xfId="0" applyAlignment="1">
      <alignment horizontal="left" vertical="top"/>
    </xf>
    <xf numFmtId="0" fontId="90" fillId="0" borderId="0" xfId="0" applyFont="1" applyAlignment="1">
      <alignment horizontal="center" vertical="center" wrapText="1"/>
    </xf>
    <xf numFmtId="0" fontId="0" fillId="0" borderId="2" xfId="0" applyBorder="1" applyAlignment="1">
      <alignment vertical="center"/>
    </xf>
    <xf numFmtId="0" fontId="5" fillId="0" borderId="1" xfId="0" applyFont="1" applyBorder="1" applyAlignment="1">
      <alignment horizontal="center" vertical="top"/>
    </xf>
    <xf numFmtId="0" fontId="5" fillId="0" borderId="9" xfId="0" applyFont="1" applyBorder="1" applyAlignment="1">
      <alignment horizontal="center" vertical="center"/>
    </xf>
    <xf numFmtId="0" fontId="91" fillId="0" borderId="0" xfId="0" applyFont="1"/>
    <xf numFmtId="0" fontId="55" fillId="0" borderId="0" xfId="0" applyFont="1" applyAlignment="1">
      <alignment horizontal="center" vertical="center" wrapText="1"/>
    </xf>
    <xf numFmtId="0" fontId="36" fillId="0" borderId="0" xfId="0" applyFont="1" applyAlignment="1">
      <alignment vertical="center" wrapText="1"/>
    </xf>
    <xf numFmtId="0" fontId="87" fillId="0" borderId="0" xfId="0" applyFont="1" applyAlignment="1">
      <alignment vertical="center" wrapText="1"/>
    </xf>
    <xf numFmtId="0" fontId="89" fillId="0" borderId="1" xfId="0" applyFont="1" applyBorder="1" applyAlignment="1">
      <alignment horizontal="center" vertical="center" wrapText="1"/>
    </xf>
    <xf numFmtId="0" fontId="92" fillId="0" borderId="0" xfId="0" applyFont="1"/>
    <xf numFmtId="0" fontId="36" fillId="0" borderId="0" xfId="0" applyFont="1" applyAlignment="1">
      <alignment horizontal="center" vertical="center" wrapText="1"/>
    </xf>
    <xf numFmtId="0" fontId="36" fillId="0" borderId="0" xfId="0" applyFont="1" applyAlignment="1">
      <alignment horizontal="center" vertical="center"/>
    </xf>
    <xf numFmtId="164" fontId="36" fillId="6" borderId="1" xfId="1" applyNumberFormat="1" applyFont="1" applyFill="1" applyBorder="1" applyAlignment="1">
      <alignment vertical="center"/>
    </xf>
    <xf numFmtId="164" fontId="36" fillId="0" borderId="1" xfId="1" applyNumberFormat="1" applyFont="1" applyBorder="1" applyAlignment="1">
      <alignment vertical="center"/>
    </xf>
    <xf numFmtId="164" fontId="36" fillId="18" borderId="1" xfId="1" applyNumberFormat="1" applyFont="1" applyFill="1" applyBorder="1" applyAlignment="1">
      <alignment vertical="center"/>
    </xf>
    <xf numFmtId="0" fontId="5" fillId="0" borderId="9" xfId="0" applyFont="1" applyBorder="1" applyAlignment="1">
      <alignment horizont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5" fillId="0" borderId="10" xfId="0" applyFont="1" applyBorder="1" applyAlignment="1">
      <alignment horizontal="left" wrapText="1"/>
    </xf>
    <xf numFmtId="0" fontId="5" fillId="0" borderId="1" xfId="0" applyFont="1" applyBorder="1"/>
    <xf numFmtId="0" fontId="5" fillId="0" borderId="1" xfId="0" applyFont="1" applyBorder="1" applyAlignment="1">
      <alignment horizontal="left" wrapText="1"/>
    </xf>
    <xf numFmtId="0" fontId="5" fillId="0" borderId="7" xfId="0" applyFont="1" applyBorder="1" applyAlignment="1">
      <alignment horizontal="left" wrapText="1"/>
    </xf>
    <xf numFmtId="0" fontId="5" fillId="0" borderId="7" xfId="0" applyFont="1" applyBorder="1"/>
    <xf numFmtId="0" fontId="12" fillId="0" borderId="0" xfId="0" applyFont="1" applyAlignment="1">
      <alignment horizontal="left"/>
    </xf>
    <xf numFmtId="0" fontId="29" fillId="0" borderId="0" xfId="0" applyFont="1" applyAlignment="1">
      <alignment horizontal="left"/>
    </xf>
    <xf numFmtId="0" fontId="6" fillId="0" borderId="1" xfId="0" applyFont="1" applyBorder="1" applyAlignment="1">
      <alignment horizontal="center"/>
    </xf>
    <xf numFmtId="0" fontId="3" fillId="0" borderId="0" xfId="0" applyFont="1" applyAlignment="1">
      <alignment horizontal="left"/>
    </xf>
    <xf numFmtId="0" fontId="93" fillId="0" borderId="1" xfId="0" applyFont="1" applyBorder="1" applyAlignment="1">
      <alignment vertical="center" wrapText="1"/>
    </xf>
    <xf numFmtId="164" fontId="0" fillId="0" borderId="0" xfId="0" applyNumberFormat="1"/>
    <xf numFmtId="0" fontId="13" fillId="7" borderId="1" xfId="0" applyFont="1" applyFill="1" applyBorder="1" applyAlignment="1">
      <alignment horizontal="center" vertical="center" wrapText="1"/>
    </xf>
    <xf numFmtId="0" fontId="20" fillId="7" borderId="1" xfId="0" applyFont="1" applyFill="1" applyBorder="1" applyAlignment="1">
      <alignment horizontal="center" vertical="center" wrapText="1"/>
    </xf>
    <xf numFmtId="0" fontId="20" fillId="7" borderId="1" xfId="0" applyFont="1" applyFill="1" applyBorder="1" applyAlignment="1">
      <alignment vertical="center" wrapText="1"/>
    </xf>
    <xf numFmtId="164" fontId="13" fillId="7" borderId="1" xfId="1" applyNumberFormat="1" applyFont="1" applyFill="1" applyBorder="1" applyAlignment="1">
      <alignment vertical="center" wrapText="1"/>
    </xf>
    <xf numFmtId="0" fontId="13" fillId="7" borderId="1" xfId="0" applyFont="1" applyFill="1" applyBorder="1" applyAlignment="1">
      <alignment vertical="center" wrapText="1"/>
    </xf>
    <xf numFmtId="164" fontId="13" fillId="19" borderId="1" xfId="1" applyNumberFormat="1" applyFont="1" applyFill="1" applyBorder="1" applyAlignment="1">
      <alignment vertical="center" wrapText="1"/>
    </xf>
    <xf numFmtId="0" fontId="13" fillId="7" borderId="1" xfId="0" applyFont="1" applyFill="1" applyBorder="1" applyAlignment="1">
      <alignment horizontal="justify" vertical="center" wrapText="1"/>
    </xf>
    <xf numFmtId="0" fontId="36" fillId="0" borderId="1" xfId="0" applyFont="1" applyBorder="1" applyAlignment="1">
      <alignment horizontal="justify" vertical="center" wrapText="1"/>
    </xf>
    <xf numFmtId="0" fontId="86" fillId="0" borderId="0" xfId="0" applyFont="1" applyAlignment="1">
      <alignment vertical="center" wrapText="1"/>
    </xf>
    <xf numFmtId="0" fontId="95" fillId="0" borderId="1" xfId="0" applyFont="1" applyBorder="1" applyAlignment="1">
      <alignment horizontal="right" vertical="center" wrapText="1"/>
    </xf>
    <xf numFmtId="0" fontId="95" fillId="0" borderId="1" xfId="0" applyFont="1" applyBorder="1" applyAlignment="1">
      <alignment vertical="center" wrapText="1"/>
    </xf>
    <xf numFmtId="0" fontId="13" fillId="5" borderId="1" xfId="0" applyFont="1" applyFill="1" applyBorder="1" applyAlignment="1">
      <alignment vertical="center" wrapText="1"/>
    </xf>
    <xf numFmtId="0" fontId="3" fillId="0" borderId="0" xfId="0" applyFont="1" applyAlignment="1">
      <alignment horizontal="center" vertical="center" wrapText="1"/>
    </xf>
    <xf numFmtId="0" fontId="5" fillId="0" borderId="1" xfId="7" applyFont="1" applyBorder="1" applyAlignment="1">
      <alignment horizontal="left" vertical="center" wrapText="1"/>
    </xf>
    <xf numFmtId="164" fontId="5" fillId="0" borderId="1" xfId="1" applyNumberFormat="1" applyFont="1" applyFill="1" applyBorder="1" applyAlignment="1">
      <alignment horizontal="center" vertical="center" wrapText="1"/>
    </xf>
    <xf numFmtId="0" fontId="5" fillId="0" borderId="1" xfId="7" applyFont="1" applyBorder="1" applyAlignment="1">
      <alignment vertical="center" wrapText="1"/>
    </xf>
    <xf numFmtId="164" fontId="5" fillId="4" borderId="1" xfId="1" applyNumberFormat="1" applyFont="1" applyFill="1" applyBorder="1" applyAlignment="1">
      <alignment horizontal="center" vertical="center" wrapText="1"/>
    </xf>
    <xf numFmtId="164" fontId="5" fillId="4" borderId="1" xfId="1" applyNumberFormat="1" applyFont="1" applyFill="1" applyBorder="1" applyAlignment="1">
      <alignment wrapText="1"/>
    </xf>
    <xf numFmtId="0" fontId="5" fillId="0" borderId="1" xfId="7" quotePrefix="1" applyFont="1" applyBorder="1" applyAlignment="1">
      <alignment horizontal="center" vertical="center" wrapText="1"/>
    </xf>
    <xf numFmtId="0" fontId="98" fillId="0" borderId="0" xfId="0" applyFont="1"/>
    <xf numFmtId="164" fontId="5" fillId="0" borderId="1" xfId="1" applyNumberFormat="1" applyFont="1" applyBorder="1"/>
    <xf numFmtId="0" fontId="5" fillId="0" borderId="1" xfId="0" applyFont="1" applyBorder="1" applyAlignment="1">
      <alignment horizontal="left" wrapText="1" indent="2"/>
    </xf>
    <xf numFmtId="164" fontId="5" fillId="0" borderId="6" xfId="1" applyNumberFormat="1" applyFont="1" applyBorder="1"/>
    <xf numFmtId="0" fontId="99" fillId="0" borderId="0" xfId="0" applyFont="1"/>
    <xf numFmtId="0" fontId="5" fillId="0" borderId="0" xfId="0" applyFont="1" applyAlignment="1">
      <alignment horizontal="left" wrapText="1"/>
    </xf>
    <xf numFmtId="0" fontId="99" fillId="0" borderId="0" xfId="0" applyFont="1" applyAlignment="1">
      <alignment horizontal="left" wrapText="1"/>
    </xf>
    <xf numFmtId="0" fontId="5" fillId="0" borderId="0" xfId="0" applyFont="1" applyAlignment="1">
      <alignment horizontal="center" wrapText="1"/>
    </xf>
    <xf numFmtId="0" fontId="5" fillId="0" borderId="0" xfId="0" applyFont="1" applyAlignment="1">
      <alignment wrapText="1"/>
    </xf>
    <xf numFmtId="0" fontId="100" fillId="0" borderId="1" xfId="8" applyFont="1" applyBorder="1" applyAlignment="1">
      <alignment wrapText="1"/>
    </xf>
    <xf numFmtId="164" fontId="0" fillId="0" borderId="1" xfId="1" applyNumberFormat="1" applyFont="1" applyBorder="1"/>
    <xf numFmtId="0" fontId="5" fillId="0" borderId="0" xfId="0" applyFont="1" applyAlignment="1">
      <alignment horizontal="left" vertical="center" wrapText="1"/>
    </xf>
    <xf numFmtId="0" fontId="5" fillId="0" borderId="0" xfId="0" applyFont="1" applyAlignment="1">
      <alignment horizontal="left" vertical="center"/>
    </xf>
    <xf numFmtId="0" fontId="36" fillId="0" borderId="0" xfId="6">
      <alignment vertical="center"/>
    </xf>
    <xf numFmtId="0" fontId="102" fillId="0" borderId="0" xfId="11" applyFill="1" applyBorder="1" applyAlignment="1">
      <alignment vertical="center"/>
    </xf>
    <xf numFmtId="0" fontId="92" fillId="0" borderId="0" xfId="10" applyFill="1" applyBorder="1" applyAlignment="1">
      <alignment vertical="center"/>
    </xf>
    <xf numFmtId="0" fontId="92" fillId="0" borderId="0" xfId="10" applyFill="1" applyBorder="1" applyAlignment="1">
      <alignment horizontal="left" vertical="center"/>
    </xf>
    <xf numFmtId="0" fontId="5" fillId="0" borderId="0" xfId="6" applyFont="1">
      <alignment vertical="center"/>
    </xf>
    <xf numFmtId="0" fontId="5" fillId="0" borderId="1" xfId="3" quotePrefix="1" applyFont="1" applyBorder="1" applyAlignment="1">
      <alignment horizontal="center" vertical="center"/>
    </xf>
    <xf numFmtId="0" fontId="6" fillId="0" borderId="1" xfId="3" quotePrefix="1" applyFont="1" applyBorder="1" applyAlignment="1">
      <alignment horizontal="center" vertical="center"/>
    </xf>
    <xf numFmtId="164" fontId="5" fillId="0" borderId="1" xfId="1" applyNumberFormat="1" applyFont="1" applyFill="1" applyBorder="1" applyAlignment="1" applyProtection="1">
      <alignment horizontal="center" vertical="center"/>
      <protection locked="0"/>
    </xf>
    <xf numFmtId="164" fontId="5" fillId="19" borderId="1" xfId="1" applyNumberFormat="1" applyFont="1" applyFill="1" applyBorder="1" applyAlignment="1" applyProtection="1">
      <alignment horizontal="center" vertical="center"/>
      <protection locked="0"/>
    </xf>
    <xf numFmtId="0" fontId="103" fillId="0" borderId="0" xfId="3" quotePrefix="1" applyFont="1" applyAlignment="1">
      <alignment horizontal="right" vertical="center"/>
    </xf>
    <xf numFmtId="3" fontId="105" fillId="0" borderId="0" xfId="4" applyFont="1" applyFill="1" applyBorder="1" applyAlignment="1">
      <alignment horizontal="center" vertical="center"/>
      <protection locked="0"/>
    </xf>
    <xf numFmtId="0" fontId="12" fillId="0" borderId="0" xfId="10" applyFont="1" applyFill="1" applyBorder="1" applyAlignment="1">
      <alignment horizontal="left" vertical="center" indent="1"/>
    </xf>
    <xf numFmtId="0" fontId="5" fillId="0" borderId="0" xfId="6" applyFont="1" applyAlignment="1">
      <alignment horizontal="left" vertical="center" wrapText="1" indent="1"/>
    </xf>
    <xf numFmtId="0" fontId="6" fillId="0" borderId="8" xfId="3" applyFont="1" applyBorder="1" applyAlignment="1">
      <alignment horizontal="left" vertical="center" wrapText="1" indent="1"/>
    </xf>
    <xf numFmtId="0" fontId="5" fillId="0" borderId="6" xfId="3" applyFont="1" applyBorder="1" applyAlignment="1">
      <alignment horizontal="left" vertical="center" wrapText="1" indent="2"/>
    </xf>
    <xf numFmtId="0" fontId="5" fillId="0" borderId="14" xfId="3" applyFont="1" applyBorder="1" applyAlignment="1">
      <alignment horizontal="left" vertical="center" wrapText="1" indent="3"/>
    </xf>
    <xf numFmtId="0" fontId="104" fillId="0" borderId="14" xfId="3" applyFont="1" applyBorder="1" applyAlignment="1">
      <alignment horizontal="left" vertical="center" wrapText="1" indent="3"/>
    </xf>
    <xf numFmtId="0" fontId="6" fillId="0" borderId="1" xfId="3" applyFont="1" applyBorder="1" applyAlignment="1">
      <alignment horizontal="left" vertical="center" wrapText="1" indent="1"/>
    </xf>
    <xf numFmtId="0" fontId="36" fillId="0" borderId="0" xfId="6" applyAlignment="1">
      <alignment vertical="top" wrapText="1"/>
    </xf>
    <xf numFmtId="0" fontId="106" fillId="0" borderId="0" xfId="3" applyFont="1">
      <alignment vertical="center"/>
    </xf>
    <xf numFmtId="0" fontId="107" fillId="0" borderId="0" xfId="10" applyFont="1" applyFill="1" applyBorder="1" applyAlignment="1">
      <alignment vertical="center" wrapText="1"/>
    </xf>
    <xf numFmtId="0" fontId="89" fillId="0" borderId="0" xfId="12" applyFont="1" applyFill="1" applyBorder="1" applyAlignment="1">
      <alignment horizontal="center" vertical="center" wrapText="1"/>
    </xf>
    <xf numFmtId="0" fontId="103" fillId="0" borderId="0" xfId="3" quotePrefix="1" applyFont="1" applyAlignment="1">
      <alignment horizontal="center" vertical="center"/>
    </xf>
    <xf numFmtId="164" fontId="30" fillId="0" borderId="1" xfId="1" applyNumberFormat="1" applyFont="1" applyFill="1" applyBorder="1" applyAlignment="1" applyProtection="1">
      <alignment horizontal="center" vertical="center"/>
      <protection locked="0"/>
    </xf>
    <xf numFmtId="0" fontId="103" fillId="0" borderId="14" xfId="3" quotePrefix="1" applyFont="1" applyBorder="1" applyAlignment="1">
      <alignment horizontal="center" vertical="center"/>
    </xf>
    <xf numFmtId="0" fontId="36" fillId="0" borderId="0" xfId="6" applyAlignment="1">
      <alignment vertical="center" wrapText="1"/>
    </xf>
    <xf numFmtId="0" fontId="108" fillId="0" borderId="0" xfId="6" applyFont="1" applyAlignment="1">
      <alignment vertical="top"/>
    </xf>
    <xf numFmtId="0" fontId="94" fillId="0" borderId="0" xfId="0" applyFont="1" applyAlignment="1">
      <alignment vertical="top"/>
    </xf>
    <xf numFmtId="0" fontId="109" fillId="0" borderId="0" xfId="0" applyFont="1" applyAlignment="1">
      <alignment horizontal="left" vertical="center" indent="5"/>
    </xf>
    <xf numFmtId="0" fontId="19" fillId="0" borderId="1" xfId="0" applyFont="1" applyBorder="1" applyAlignment="1">
      <alignment horizontal="left" vertical="center" wrapText="1"/>
    </xf>
    <xf numFmtId="0" fontId="111" fillId="0" borderId="0" xfId="13" applyFont="1"/>
    <xf numFmtId="164" fontId="46" fillId="0" borderId="19" xfId="1" applyNumberFormat="1" applyFont="1" applyBorder="1" applyAlignment="1">
      <alignment vertical="center" wrapText="1"/>
    </xf>
    <xf numFmtId="164" fontId="46" fillId="0" borderId="27" xfId="1" applyNumberFormat="1" applyFont="1" applyBorder="1" applyAlignment="1">
      <alignment vertical="center" wrapText="1"/>
    </xf>
    <xf numFmtId="166" fontId="46" fillId="0" borderId="27" xfId="1" applyNumberFormat="1" applyFont="1" applyBorder="1" applyAlignment="1">
      <alignment horizontal="center" vertical="center" wrapText="1"/>
    </xf>
    <xf numFmtId="166" fontId="1" fillId="6" borderId="27" xfId="1" applyNumberFormat="1" applyFont="1" applyFill="1" applyBorder="1" applyAlignment="1">
      <alignment vertical="center" wrapText="1"/>
    </xf>
    <xf numFmtId="166" fontId="1" fillId="0" borderId="27" xfId="1" applyNumberFormat="1" applyFont="1" applyBorder="1" applyAlignment="1">
      <alignment vertical="center"/>
    </xf>
    <xf numFmtId="166" fontId="31" fillId="6" borderId="27" xfId="1" applyNumberFormat="1" applyFont="1" applyFill="1" applyBorder="1" applyAlignment="1">
      <alignment vertical="center" wrapText="1"/>
    </xf>
    <xf numFmtId="166" fontId="1" fillId="0" borderId="27" xfId="1" applyNumberFormat="1" applyFont="1" applyBorder="1" applyAlignment="1">
      <alignment horizontal="center" vertical="center"/>
    </xf>
    <xf numFmtId="166" fontId="1" fillId="0" borderId="27" xfId="1" applyNumberFormat="1" applyFont="1" applyBorder="1" applyAlignment="1">
      <alignment vertical="center" wrapText="1"/>
    </xf>
    <xf numFmtId="166" fontId="41" fillId="18" borderId="27" xfId="1" applyNumberFormat="1" applyFont="1" applyFill="1" applyBorder="1" applyAlignment="1">
      <alignment vertical="center" wrapText="1"/>
    </xf>
    <xf numFmtId="164" fontId="1" fillId="0" borderId="27" xfId="1" applyNumberFormat="1" applyFont="1" applyBorder="1" applyAlignment="1">
      <alignment vertical="center"/>
    </xf>
    <xf numFmtId="164" fontId="48" fillId="0" borderId="19" xfId="1" applyNumberFormat="1" applyFont="1" applyBorder="1" applyAlignment="1">
      <alignment horizontal="center" vertical="center" wrapText="1"/>
    </xf>
    <xf numFmtId="164" fontId="48" fillId="0" borderId="27" xfId="1" applyNumberFormat="1" applyFont="1" applyBorder="1" applyAlignment="1">
      <alignment horizontal="center" vertical="center" wrapText="1"/>
    </xf>
    <xf numFmtId="164" fontId="48" fillId="17" borderId="19" xfId="1" applyNumberFormat="1" applyFont="1" applyFill="1" applyBorder="1" applyAlignment="1">
      <alignment horizontal="center" vertical="center" wrapText="1"/>
    </xf>
    <xf numFmtId="164" fontId="46" fillId="17" borderId="27" xfId="1" applyNumberFormat="1" applyFont="1" applyFill="1" applyBorder="1" applyAlignment="1">
      <alignment vertical="center" wrapText="1"/>
    </xf>
    <xf numFmtId="164" fontId="48" fillId="17" borderId="27" xfId="1" applyNumberFormat="1" applyFont="1" applyFill="1" applyBorder="1" applyAlignment="1">
      <alignment horizontal="center" vertical="center" wrapText="1"/>
    </xf>
    <xf numFmtId="164" fontId="46" fillId="10" borderId="27" xfId="1" applyNumberFormat="1" applyFont="1" applyFill="1" applyBorder="1" applyAlignment="1">
      <alignment vertical="center" wrapText="1"/>
    </xf>
    <xf numFmtId="164" fontId="56" fillId="10" borderId="27" xfId="1" applyNumberFormat="1" applyFont="1" applyFill="1" applyBorder="1" applyAlignment="1">
      <alignment vertical="center"/>
    </xf>
    <xf numFmtId="164" fontId="16" fillId="0" borderId="27" xfId="1" applyNumberFormat="1" applyFont="1" applyBorder="1" applyAlignment="1">
      <alignment vertical="center" wrapText="1"/>
    </xf>
    <xf numFmtId="164" fontId="16" fillId="18" borderId="19" xfId="1" applyNumberFormat="1" applyFont="1" applyFill="1" applyBorder="1" applyAlignment="1">
      <alignment vertical="center" wrapText="1"/>
    </xf>
    <xf numFmtId="164" fontId="16" fillId="18" borderId="27" xfId="1" applyNumberFormat="1" applyFont="1" applyFill="1" applyBorder="1" applyAlignment="1">
      <alignment vertical="center" wrapText="1"/>
    </xf>
    <xf numFmtId="0" fontId="43" fillId="0" borderId="0" xfId="0" applyFont="1" applyAlignment="1">
      <alignment vertical="center" wrapText="1"/>
    </xf>
    <xf numFmtId="0" fontId="5" fillId="21" borderId="0" xfId="0" applyFont="1" applyFill="1"/>
    <xf numFmtId="0" fontId="101" fillId="21" borderId="0" xfId="8" applyFont="1" applyFill="1" applyAlignment="1">
      <alignment horizontal="left" vertical="center"/>
    </xf>
    <xf numFmtId="0" fontId="114" fillId="21" borderId="0" xfId="0" applyFont="1" applyFill="1"/>
    <xf numFmtId="0" fontId="114" fillId="21" borderId="0" xfId="0" applyFont="1" applyFill="1" applyAlignment="1">
      <alignment vertical="center"/>
    </xf>
    <xf numFmtId="0" fontId="114" fillId="21" borderId="10" xfId="0" applyFont="1" applyFill="1" applyBorder="1" applyAlignment="1">
      <alignment horizontal="center" vertical="center" wrapText="1"/>
    </xf>
    <xf numFmtId="0" fontId="13" fillId="6" borderId="9" xfId="0" applyFont="1" applyFill="1" applyBorder="1" applyAlignment="1">
      <alignment vertical="center" wrapText="1"/>
    </xf>
    <xf numFmtId="0" fontId="114" fillId="21" borderId="54" xfId="0" applyFont="1" applyFill="1" applyBorder="1" applyAlignment="1">
      <alignment horizontal="center" vertical="center" wrapText="1"/>
    </xf>
    <xf numFmtId="0" fontId="0" fillId="6" borderId="2" xfId="0" applyFill="1" applyBorder="1" applyAlignment="1">
      <alignment vertical="center" wrapText="1"/>
    </xf>
    <xf numFmtId="0" fontId="79" fillId="7" borderId="1" xfId="0" applyFont="1" applyFill="1" applyBorder="1" applyAlignment="1">
      <alignment vertical="center" wrapText="1"/>
    </xf>
    <xf numFmtId="0" fontId="42" fillId="7" borderId="1" xfId="0" applyFont="1" applyFill="1" applyBorder="1" applyAlignment="1">
      <alignment vertical="center" wrapText="1"/>
    </xf>
    <xf numFmtId="0" fontId="80" fillId="7" borderId="1" xfId="0" applyFont="1" applyFill="1" applyBorder="1" applyAlignment="1">
      <alignment vertical="center" wrapText="1"/>
    </xf>
    <xf numFmtId="0" fontId="81" fillId="7" borderId="1" xfId="0" applyFont="1" applyFill="1" applyBorder="1" applyAlignment="1">
      <alignment vertical="center" wrapText="1"/>
    </xf>
    <xf numFmtId="0" fontId="114" fillId="21" borderId="0" xfId="0" applyFont="1" applyFill="1" applyAlignment="1">
      <alignment horizontal="center" vertical="center" wrapText="1"/>
    </xf>
    <xf numFmtId="0" fontId="0" fillId="0" borderId="1" xfId="0" applyBorder="1" applyAlignment="1">
      <alignment horizontal="center" vertical="center"/>
    </xf>
    <xf numFmtId="0" fontId="111" fillId="0" borderId="0" xfId="13" applyFont="1" applyAlignment="1">
      <alignment horizontal="left" wrapText="1"/>
    </xf>
    <xf numFmtId="0" fontId="3" fillId="0" borderId="1" xfId="0" applyFont="1" applyBorder="1" applyAlignment="1">
      <alignment horizontal="center" vertical="center" wrapText="1"/>
    </xf>
    <xf numFmtId="0" fontId="5" fillId="0" borderId="1" xfId="0" applyFont="1" applyBorder="1" applyAlignment="1">
      <alignment horizontal="center" wrapText="1"/>
    </xf>
    <xf numFmtId="0" fontId="5" fillId="0" borderId="1" xfId="7" applyFont="1" applyBorder="1" applyAlignment="1">
      <alignment horizontal="center" vertical="center" wrapText="1"/>
    </xf>
    <xf numFmtId="0" fontId="5" fillId="0" borderId="1" xfId="0" applyFont="1" applyBorder="1" applyAlignment="1">
      <alignment horizontal="left" vertical="center" wrapText="1"/>
    </xf>
    <xf numFmtId="164" fontId="0" fillId="0" borderId="9" xfId="1" applyNumberFormat="1" applyFont="1" applyBorder="1" applyAlignment="1">
      <alignment vertical="center" wrapText="1"/>
    </xf>
    <xf numFmtId="0" fontId="115" fillId="22" borderId="59" xfId="0" applyFont="1" applyFill="1" applyBorder="1" applyAlignment="1">
      <alignment horizontal="center" vertical="center" wrapText="1"/>
    </xf>
    <xf numFmtId="164" fontId="0" fillId="0" borderId="9" xfId="1" applyNumberFormat="1" applyFont="1" applyBorder="1" applyAlignment="1">
      <alignment horizontal="center" vertical="center" wrapText="1"/>
    </xf>
    <xf numFmtId="0" fontId="114" fillId="21" borderId="0" xfId="0" applyFont="1" applyFill="1" applyAlignment="1">
      <alignment horizontal="center" vertical="center"/>
    </xf>
    <xf numFmtId="0" fontId="19" fillId="0" borderId="9" xfId="0" applyFont="1" applyBorder="1" applyAlignment="1">
      <alignment horizontal="left" vertical="center"/>
    </xf>
    <xf numFmtId="0" fontId="19" fillId="0" borderId="9" xfId="0" applyFont="1" applyBorder="1" applyAlignment="1">
      <alignment horizontal="center" vertical="center"/>
    </xf>
    <xf numFmtId="0" fontId="19" fillId="0" borderId="9" xfId="0" applyFont="1" applyBorder="1" applyAlignment="1">
      <alignment vertical="center"/>
    </xf>
    <xf numFmtId="0" fontId="114" fillId="21" borderId="59" xfId="0" applyFont="1" applyFill="1" applyBorder="1" applyAlignment="1">
      <alignment horizontal="center" vertical="center" wrapText="1"/>
    </xf>
    <xf numFmtId="0" fontId="114" fillId="21" borderId="59" xfId="0" applyFont="1" applyFill="1" applyBorder="1" applyAlignment="1">
      <alignment horizontal="center" vertical="center"/>
    </xf>
    <xf numFmtId="0" fontId="114" fillId="21" borderId="59" xfId="0" applyFont="1" applyFill="1" applyBorder="1" applyAlignment="1">
      <alignment vertical="center" wrapText="1"/>
    </xf>
    <xf numFmtId="0" fontId="114" fillId="21" borderId="59" xfId="0" applyFont="1" applyFill="1" applyBorder="1" applyAlignment="1">
      <alignment vertical="top" wrapText="1"/>
    </xf>
    <xf numFmtId="164" fontId="113" fillId="21" borderId="59" xfId="1" applyNumberFormat="1" applyFont="1" applyFill="1" applyBorder="1" applyAlignment="1">
      <alignment horizontal="center" vertical="center" wrapText="1"/>
    </xf>
    <xf numFmtId="0" fontId="113" fillId="21" borderId="59" xfId="0" applyFont="1" applyFill="1" applyBorder="1" applyAlignment="1">
      <alignment horizontal="center" vertical="center" wrapText="1"/>
    </xf>
    <xf numFmtId="164" fontId="5" fillId="0" borderId="1" xfId="1" applyNumberFormat="1" applyFont="1" applyFill="1" applyBorder="1" applyAlignment="1">
      <alignment vertical="center"/>
    </xf>
    <xf numFmtId="0" fontId="6" fillId="0" borderId="1" xfId="0" applyFont="1" applyBorder="1" applyAlignment="1">
      <alignment horizontal="justify" vertical="center"/>
    </xf>
    <xf numFmtId="164" fontId="6" fillId="0" borderId="1" xfId="1" applyNumberFormat="1" applyFont="1" applyFill="1" applyBorder="1" applyAlignment="1">
      <alignment vertical="center"/>
    </xf>
    <xf numFmtId="0" fontId="6" fillId="0" borderId="1" xfId="0" applyFont="1" applyBorder="1" applyAlignment="1">
      <alignment horizontal="justify" vertical="center" wrapText="1"/>
    </xf>
    <xf numFmtId="164" fontId="5" fillId="0" borderId="1" xfId="1" applyNumberFormat="1" applyFont="1" applyFill="1" applyBorder="1" applyAlignment="1">
      <alignment horizontal="justify" vertical="center"/>
    </xf>
    <xf numFmtId="0" fontId="0" fillId="0" borderId="1" xfId="0" applyFont="1" applyBorder="1" applyAlignment="1">
      <alignment vertical="center"/>
    </xf>
    <xf numFmtId="0" fontId="0" fillId="0" borderId="1" xfId="0" applyNumberFormat="1" applyFont="1" applyBorder="1" applyAlignment="1">
      <alignment vertical="center"/>
    </xf>
    <xf numFmtId="0" fontId="114" fillId="21" borderId="66" xfId="0" applyFont="1" applyFill="1" applyBorder="1" applyAlignment="1">
      <alignment horizontal="center" vertical="center" wrapText="1"/>
    </xf>
    <xf numFmtId="0" fontId="113" fillId="21" borderId="0" xfId="0" applyFont="1" applyFill="1" applyAlignment="1">
      <alignment vertical="center" wrapText="1"/>
    </xf>
    <xf numFmtId="0" fontId="113" fillId="21" borderId="66" xfId="0" applyFont="1" applyFill="1" applyBorder="1" applyAlignment="1">
      <alignment horizontal="center" vertical="center" wrapText="1"/>
    </xf>
    <xf numFmtId="0" fontId="10" fillId="0" borderId="9" xfId="0" applyFont="1" applyBorder="1" applyAlignment="1">
      <alignment vertical="center" wrapText="1"/>
    </xf>
    <xf numFmtId="164" fontId="5" fillId="0" borderId="9" xfId="1" quotePrefix="1" applyNumberFormat="1" applyFont="1" applyFill="1" applyBorder="1"/>
    <xf numFmtId="164" fontId="113" fillId="21" borderId="59" xfId="1" quotePrefix="1" applyNumberFormat="1" applyFont="1" applyFill="1" applyBorder="1" applyAlignment="1">
      <alignment horizontal="center" vertical="center"/>
    </xf>
    <xf numFmtId="164" fontId="113" fillId="21" borderId="59" xfId="1" applyNumberFormat="1" applyFont="1" applyFill="1" applyBorder="1" applyAlignment="1">
      <alignment horizontal="center" vertical="center"/>
    </xf>
    <xf numFmtId="0" fontId="114" fillId="21" borderId="59" xfId="0" applyFont="1" applyFill="1" applyBorder="1" applyAlignment="1">
      <alignment horizontal="center"/>
    </xf>
    <xf numFmtId="164" fontId="114" fillId="21" borderId="59" xfId="1" quotePrefix="1" applyNumberFormat="1" applyFont="1" applyFill="1" applyBorder="1" applyAlignment="1">
      <alignment horizontal="center" vertical="center"/>
    </xf>
    <xf numFmtId="165" fontId="114" fillId="21" borderId="59" xfId="1" applyNumberFormat="1" applyFont="1" applyFill="1" applyBorder="1" applyAlignment="1">
      <alignment horizontal="center" vertical="center"/>
    </xf>
    <xf numFmtId="164" fontId="0" fillId="0" borderId="9" xfId="1" applyNumberFormat="1" applyFont="1" applyBorder="1" applyAlignment="1">
      <alignment vertical="center"/>
    </xf>
    <xf numFmtId="164" fontId="0" fillId="0" borderId="9" xfId="1" applyNumberFormat="1" applyFont="1" applyBorder="1" applyAlignment="1">
      <alignment horizontal="center" vertical="center"/>
    </xf>
    <xf numFmtId="164" fontId="0" fillId="0" borderId="1" xfId="1" applyNumberFormat="1" applyFont="1" applyBorder="1" applyAlignment="1">
      <alignment vertical="center"/>
    </xf>
    <xf numFmtId="164" fontId="0" fillId="0" borderId="1" xfId="1" applyNumberFormat="1" applyFont="1" applyBorder="1" applyAlignment="1">
      <alignment horizontal="center" vertical="center"/>
    </xf>
    <xf numFmtId="164" fontId="0" fillId="4" borderId="1" xfId="1" applyNumberFormat="1" applyFont="1" applyFill="1" applyBorder="1" applyAlignment="1">
      <alignment vertical="center"/>
    </xf>
    <xf numFmtId="164" fontId="5" fillId="0" borderId="1" xfId="1" applyNumberFormat="1" applyFont="1" applyFill="1" applyBorder="1" applyAlignment="1">
      <alignment vertical="center" wrapText="1"/>
    </xf>
    <xf numFmtId="164" fontId="6" fillId="0" borderId="1" xfId="1" applyNumberFormat="1" applyFont="1" applyFill="1" applyBorder="1" applyAlignment="1">
      <alignment vertical="center" wrapText="1"/>
    </xf>
    <xf numFmtId="10" fontId="5" fillId="0" borderId="1" xfId="2" applyNumberFormat="1" applyFont="1" applyFill="1" applyBorder="1" applyAlignment="1">
      <alignment vertical="center" wrapText="1"/>
    </xf>
    <xf numFmtId="164" fontId="5" fillId="0" borderId="9" xfId="1" applyNumberFormat="1" applyFont="1" applyFill="1" applyBorder="1" applyAlignment="1">
      <alignment horizontal="center" vertical="center" wrapText="1"/>
    </xf>
    <xf numFmtId="164" fontId="10" fillId="0" borderId="1" xfId="1" applyNumberFormat="1" applyFont="1" applyBorder="1" applyAlignment="1">
      <alignment horizontal="center" vertical="center"/>
    </xf>
    <xf numFmtId="164" fontId="10" fillId="0" borderId="1" xfId="1" applyNumberFormat="1" applyFont="1" applyFill="1" applyBorder="1" applyAlignment="1">
      <alignment horizontal="center" vertical="center"/>
    </xf>
    <xf numFmtId="164" fontId="5" fillId="0" borderId="1" xfId="1" quotePrefix="1" applyNumberFormat="1" applyFont="1" applyFill="1" applyBorder="1" applyAlignment="1"/>
    <xf numFmtId="164" fontId="5" fillId="0" borderId="1" xfId="1" applyNumberFormat="1" applyFont="1" applyFill="1" applyBorder="1" applyAlignment="1">
      <alignment wrapText="1"/>
    </xf>
    <xf numFmtId="164" fontId="5" fillId="0" borderId="6" xfId="1" quotePrefix="1" applyNumberFormat="1" applyFont="1" applyFill="1" applyBorder="1" applyAlignment="1">
      <alignment wrapText="1"/>
    </xf>
    <xf numFmtId="164" fontId="6" fillId="4" borderId="1" xfId="1" applyNumberFormat="1" applyFont="1" applyFill="1" applyBorder="1" applyAlignment="1">
      <alignment horizontal="justify" vertical="top" wrapText="1"/>
    </xf>
    <xf numFmtId="43" fontId="5" fillId="0" borderId="1" xfId="1" quotePrefix="1" applyFont="1" applyFill="1" applyBorder="1" applyAlignment="1"/>
    <xf numFmtId="0" fontId="11" fillId="5" borderId="9" xfId="0" applyFont="1" applyFill="1" applyBorder="1" applyAlignment="1">
      <alignment vertical="center" wrapText="1"/>
    </xf>
    <xf numFmtId="164" fontId="0" fillId="0" borderId="9" xfId="1" quotePrefix="1" applyNumberFormat="1" applyFont="1" applyFill="1" applyBorder="1" applyAlignment="1">
      <alignment wrapText="1"/>
    </xf>
    <xf numFmtId="0" fontId="0" fillId="21" borderId="0" xfId="0" applyFill="1"/>
    <xf numFmtId="6" fontId="114" fillId="21" borderId="59" xfId="0" applyNumberFormat="1" applyFont="1" applyFill="1" applyBorder="1" applyAlignment="1">
      <alignment horizontal="center" vertical="center"/>
    </xf>
    <xf numFmtId="164" fontId="114" fillId="21" borderId="59" xfId="1" applyNumberFormat="1" applyFont="1" applyFill="1" applyBorder="1" applyAlignment="1">
      <alignment vertical="center" wrapText="1"/>
    </xf>
    <xf numFmtId="0" fontId="3" fillId="13" borderId="23" xfId="0" applyFont="1" applyFill="1" applyBorder="1" applyAlignment="1">
      <alignment vertical="center"/>
    </xf>
    <xf numFmtId="0" fontId="3" fillId="13" borderId="0" xfId="0" applyFont="1" applyFill="1" applyBorder="1" applyAlignment="1">
      <alignment vertical="center"/>
    </xf>
    <xf numFmtId="0" fontId="3" fillId="13" borderId="0" xfId="0" applyFont="1" applyFill="1" applyBorder="1" applyAlignment="1">
      <alignment horizontal="center" vertical="center"/>
    </xf>
    <xf numFmtId="0" fontId="3" fillId="13" borderId="71" xfId="0" applyFont="1" applyFill="1" applyBorder="1" applyAlignment="1">
      <alignment vertical="center"/>
    </xf>
    <xf numFmtId="0" fontId="0" fillId="15" borderId="1" xfId="0" applyFill="1" applyBorder="1" applyAlignment="1">
      <alignment horizontal="center" vertical="center" wrapText="1"/>
    </xf>
    <xf numFmtId="0" fontId="0" fillId="15" borderId="1" xfId="0" applyFill="1" applyBorder="1" applyAlignment="1">
      <alignment horizontal="center" vertical="center"/>
    </xf>
    <xf numFmtId="0" fontId="0" fillId="15" borderId="1" xfId="0" applyFill="1" applyBorder="1" applyAlignment="1">
      <alignment vertical="center" wrapText="1"/>
    </xf>
    <xf numFmtId="164" fontId="3" fillId="15" borderId="1" xfId="1" applyNumberFormat="1" applyFont="1" applyFill="1" applyBorder="1" applyAlignment="1">
      <alignment vertical="top" wrapText="1"/>
    </xf>
    <xf numFmtId="164" fontId="3" fillId="15" borderId="1" xfId="1" applyNumberFormat="1" applyFont="1" applyFill="1" applyBorder="1" applyAlignment="1">
      <alignment vertical="center" wrapText="1"/>
    </xf>
    <xf numFmtId="164" fontId="3" fillId="15" borderId="1" xfId="1" applyNumberFormat="1" applyFont="1" applyFill="1" applyBorder="1" applyAlignment="1">
      <alignment horizontal="center" vertical="center"/>
    </xf>
    <xf numFmtId="0" fontId="19" fillId="0" borderId="1" xfId="0" applyFont="1" applyBorder="1" applyAlignment="1">
      <alignment horizontal="left" vertical="center" wrapText="1" indent="2"/>
    </xf>
    <xf numFmtId="164" fontId="19" fillId="10" borderId="1" xfId="1" applyNumberFormat="1" applyFont="1" applyFill="1" applyBorder="1" applyAlignment="1">
      <alignment vertical="center" wrapText="1"/>
    </xf>
    <xf numFmtId="164" fontId="3" fillId="15" borderId="1" xfId="1" applyNumberFormat="1" applyFont="1" applyFill="1" applyBorder="1" applyAlignment="1">
      <alignment horizontal="center" vertical="center" wrapText="1"/>
    </xf>
    <xf numFmtId="164" fontId="0" fillId="7" borderId="1" xfId="1" applyNumberFormat="1" applyFont="1" applyFill="1" applyBorder="1" applyAlignment="1">
      <alignment vertical="center" wrapText="1"/>
    </xf>
    <xf numFmtId="164" fontId="0" fillId="10" borderId="1" xfId="1" applyNumberFormat="1" applyFont="1" applyFill="1" applyBorder="1" applyAlignment="1">
      <alignment vertical="center"/>
    </xf>
    <xf numFmtId="164" fontId="0" fillId="10" borderId="1" xfId="1" applyNumberFormat="1" applyFont="1" applyFill="1" applyBorder="1" applyAlignment="1">
      <alignment vertical="center" wrapText="1"/>
    </xf>
    <xf numFmtId="164" fontId="3" fillId="10" borderId="1" xfId="1" applyNumberFormat="1" applyFont="1" applyFill="1" applyBorder="1" applyAlignment="1">
      <alignment vertical="center" wrapText="1"/>
    </xf>
    <xf numFmtId="164" fontId="3" fillId="10" borderId="1" xfId="1" applyNumberFormat="1" applyFont="1" applyFill="1" applyBorder="1" applyAlignment="1">
      <alignment horizontal="center" vertical="center" wrapText="1"/>
    </xf>
    <xf numFmtId="164" fontId="0" fillId="10" borderId="1" xfId="1" applyNumberFormat="1" applyFont="1" applyFill="1" applyBorder="1" applyAlignment="1">
      <alignment horizontal="center" vertical="center" wrapText="1"/>
    </xf>
    <xf numFmtId="0" fontId="44" fillId="0" borderId="1" xfId="0" applyFont="1" applyBorder="1" applyAlignment="1">
      <alignment horizontal="left" vertical="center" wrapText="1" indent="2"/>
    </xf>
    <xf numFmtId="0" fontId="19" fillId="0" borderId="1" xfId="0" applyFont="1" applyBorder="1" applyAlignment="1">
      <alignment horizontal="left" vertical="center" wrapText="1" indent="4"/>
    </xf>
    <xf numFmtId="164" fontId="3" fillId="15" borderId="1" xfId="1" quotePrefix="1" applyNumberFormat="1" applyFont="1" applyFill="1" applyBorder="1" applyAlignment="1">
      <alignment vertical="center" wrapText="1"/>
    </xf>
    <xf numFmtId="164" fontId="3" fillId="15" borderId="1" xfId="1" quotePrefix="1" applyNumberFormat="1" applyFont="1" applyFill="1" applyBorder="1" applyAlignment="1">
      <alignment horizontal="center" vertical="center" wrapText="1"/>
    </xf>
    <xf numFmtId="164" fontId="0" fillId="16" borderId="1" xfId="1" applyNumberFormat="1" applyFont="1" applyFill="1" applyBorder="1" applyAlignment="1">
      <alignment vertical="center" wrapText="1"/>
    </xf>
    <xf numFmtId="164" fontId="5" fillId="7" borderId="1" xfId="1" applyNumberFormat="1" applyFont="1" applyFill="1" applyBorder="1" applyAlignment="1">
      <alignment vertical="center" wrapText="1"/>
    </xf>
    <xf numFmtId="164" fontId="3" fillId="7" borderId="1" xfId="1" applyNumberFormat="1" applyFont="1" applyFill="1" applyBorder="1" applyAlignment="1">
      <alignment vertical="center" wrapText="1"/>
    </xf>
    <xf numFmtId="164" fontId="3" fillId="7" borderId="1" xfId="1" applyNumberFormat="1" applyFont="1" applyFill="1" applyBorder="1" applyAlignment="1">
      <alignment horizontal="center" vertical="center" wrapText="1"/>
    </xf>
    <xf numFmtId="164" fontId="3" fillId="7" borderId="1" xfId="1" quotePrefix="1" applyNumberFormat="1" applyFont="1" applyFill="1" applyBorder="1" applyAlignment="1">
      <alignment horizontal="center" vertical="center" wrapText="1"/>
    </xf>
    <xf numFmtId="164" fontId="0" fillId="10" borderId="1" xfId="1" applyNumberFormat="1" applyFont="1" applyFill="1" applyBorder="1" applyAlignment="1">
      <alignment horizontal="center" vertical="center"/>
    </xf>
    <xf numFmtId="164" fontId="3" fillId="0" borderId="1" xfId="1" applyNumberFormat="1" applyFont="1" applyBorder="1" applyAlignment="1">
      <alignment horizontal="center" vertical="center"/>
    </xf>
    <xf numFmtId="43" fontId="0" fillId="0" borderId="1" xfId="1" applyFont="1" applyBorder="1" applyAlignment="1">
      <alignment vertical="center"/>
    </xf>
    <xf numFmtId="164" fontId="0" fillId="7" borderId="1" xfId="1" applyNumberFormat="1" applyFont="1" applyFill="1" applyBorder="1" applyAlignment="1">
      <alignment horizontal="center" vertical="center" wrapText="1"/>
    </xf>
    <xf numFmtId="0" fontId="43" fillId="21" borderId="0" xfId="0" applyFont="1" applyFill="1" applyAlignment="1">
      <alignment vertical="center" wrapText="1"/>
    </xf>
    <xf numFmtId="0" fontId="116" fillId="21" borderId="0" xfId="0" applyFont="1" applyFill="1" applyAlignment="1">
      <alignment vertical="center" wrapText="1"/>
    </xf>
    <xf numFmtId="0" fontId="116" fillId="21" borderId="0" xfId="0" applyFont="1" applyFill="1" applyBorder="1" applyAlignment="1">
      <alignment vertical="center" wrapText="1"/>
    </xf>
    <xf numFmtId="0" fontId="114" fillId="21" borderId="0" xfId="0" applyFont="1" applyFill="1" applyBorder="1" applyAlignment="1">
      <alignment vertical="center" wrapText="1"/>
    </xf>
    <xf numFmtId="49" fontId="0" fillId="0" borderId="1" xfId="0" applyNumberFormat="1" applyFont="1" applyBorder="1" applyAlignment="1">
      <alignment horizontal="center" vertical="center" wrapText="1"/>
    </xf>
    <xf numFmtId="0" fontId="0" fillId="0" borderId="1" xfId="0" applyFont="1" applyBorder="1" applyAlignment="1">
      <alignment vertical="center" wrapText="1"/>
    </xf>
    <xf numFmtId="49" fontId="19" fillId="5" borderId="1" xfId="0" applyNumberFormat="1" applyFont="1" applyFill="1" applyBorder="1" applyAlignment="1">
      <alignment horizontal="center" vertical="center" wrapText="1"/>
    </xf>
    <xf numFmtId="0" fontId="19" fillId="5" borderId="1" xfId="0" applyFont="1" applyFill="1" applyBorder="1" applyAlignment="1">
      <alignment horizontal="left" vertical="center" wrapText="1" indent="1"/>
    </xf>
    <xf numFmtId="49" fontId="83" fillId="0" borderId="1" xfId="0" applyNumberFormat="1" applyFont="1" applyBorder="1" applyAlignment="1">
      <alignment horizontal="center" vertical="center" wrapText="1"/>
    </xf>
    <xf numFmtId="0" fontId="83" fillId="0" borderId="1" xfId="0" applyFont="1" applyBorder="1" applyAlignment="1">
      <alignment vertical="center" wrapText="1"/>
    </xf>
    <xf numFmtId="0" fontId="119" fillId="21" borderId="78" xfId="0" applyFont="1" applyFill="1" applyBorder="1" applyAlignment="1">
      <alignment horizontal="center" vertical="center" wrapText="1"/>
    </xf>
    <xf numFmtId="0" fontId="119" fillId="21" borderId="0" xfId="0" applyFont="1" applyFill="1" applyBorder="1" applyAlignment="1">
      <alignment vertical="center" wrapText="1"/>
    </xf>
    <xf numFmtId="0" fontId="119" fillId="21" borderId="81" xfId="0" applyFont="1" applyFill="1" applyBorder="1" applyAlignment="1">
      <alignment horizontal="center" vertical="center" wrapText="1"/>
    </xf>
    <xf numFmtId="0" fontId="119" fillId="21" borderId="79" xfId="0" applyFont="1" applyFill="1" applyBorder="1" applyAlignment="1">
      <alignment horizontal="center" vertical="center" wrapText="1"/>
    </xf>
    <xf numFmtId="164" fontId="1" fillId="0" borderId="1" xfId="1" applyNumberFormat="1" applyFont="1" applyBorder="1" applyAlignment="1">
      <alignment vertical="center" wrapText="1"/>
    </xf>
    <xf numFmtId="0" fontId="49" fillId="21" borderId="0" xfId="0" applyFont="1" applyFill="1" applyAlignment="1">
      <alignment vertical="center"/>
    </xf>
    <xf numFmtId="164" fontId="5" fillId="0" borderId="9" xfId="1" applyNumberFormat="1" applyFont="1" applyBorder="1" applyAlignment="1">
      <alignment wrapText="1"/>
    </xf>
    <xf numFmtId="164" fontId="5" fillId="0" borderId="1" xfId="1" applyNumberFormat="1" applyFont="1" applyBorder="1" applyAlignment="1">
      <alignment wrapText="1"/>
    </xf>
    <xf numFmtId="164" fontId="1" fillId="0" borderId="1" xfId="1" applyNumberFormat="1" applyFont="1" applyBorder="1" applyAlignment="1">
      <alignment wrapText="1"/>
    </xf>
    <xf numFmtId="164" fontId="1" fillId="5" borderId="1" xfId="1" applyNumberFormat="1" applyFont="1" applyFill="1" applyBorder="1" applyAlignment="1">
      <alignment horizontal="left" wrapText="1"/>
    </xf>
    <xf numFmtId="164" fontId="3" fillId="17" borderId="1" xfId="1" applyNumberFormat="1" applyFont="1" applyFill="1" applyBorder="1" applyAlignment="1">
      <alignment wrapText="1"/>
    </xf>
    <xf numFmtId="164" fontId="3" fillId="0" borderId="1" xfId="1" applyNumberFormat="1" applyFont="1" applyBorder="1" applyAlignment="1">
      <alignment wrapText="1"/>
    </xf>
    <xf numFmtId="0" fontId="117" fillId="21" borderId="59" xfId="0" applyFont="1" applyFill="1" applyBorder="1" applyAlignment="1">
      <alignment horizontal="center" vertical="center" wrapText="1"/>
    </xf>
    <xf numFmtId="0" fontId="117" fillId="21" borderId="76" xfId="0" applyFont="1" applyFill="1" applyBorder="1" applyAlignment="1">
      <alignment horizontal="center" vertical="center" wrapText="1"/>
    </xf>
    <xf numFmtId="0" fontId="119" fillId="21" borderId="59" xfId="0" applyFont="1" applyFill="1" applyBorder="1" applyAlignment="1">
      <alignment horizontal="center" vertical="center" wrapText="1"/>
    </xf>
    <xf numFmtId="0" fontId="114" fillId="21" borderId="76" xfId="0" applyFont="1" applyFill="1" applyBorder="1" applyAlignment="1">
      <alignment horizontal="center" vertical="center" wrapText="1"/>
    </xf>
    <xf numFmtId="49" fontId="6" fillId="0" borderId="1" xfId="0" applyNumberFormat="1" applyFont="1" applyBorder="1" applyAlignment="1">
      <alignment horizontal="center" vertical="center" wrapText="1"/>
    </xf>
    <xf numFmtId="167" fontId="5" fillId="0" borderId="1" xfId="1" applyNumberFormat="1" applyFont="1" applyBorder="1" applyAlignment="1">
      <alignment horizontal="right" vertical="center" wrapText="1"/>
    </xf>
    <xf numFmtId="49" fontId="5" fillId="0" borderId="1" xfId="0" applyNumberFormat="1" applyFont="1" applyBorder="1" applyAlignment="1">
      <alignment horizontal="center" vertical="center" wrapText="1"/>
    </xf>
    <xf numFmtId="0" fontId="117" fillId="21" borderId="83" xfId="0" applyFont="1" applyFill="1" applyBorder="1" applyAlignment="1">
      <alignment horizontal="center" vertical="center" wrapText="1"/>
    </xf>
    <xf numFmtId="0" fontId="117" fillId="21" borderId="0" xfId="0" applyFont="1" applyFill="1" applyBorder="1" applyAlignment="1">
      <alignment horizontal="center" vertical="center" wrapText="1"/>
    </xf>
    <xf numFmtId="0" fontId="117" fillId="21" borderId="85" xfId="0" applyFont="1" applyFill="1" applyBorder="1" applyAlignment="1">
      <alignment horizontal="center" vertical="center" wrapText="1"/>
    </xf>
    <xf numFmtId="0" fontId="117" fillId="21" borderId="86" xfId="0" applyFont="1" applyFill="1" applyBorder="1" applyAlignment="1">
      <alignment horizontal="center" vertical="center" wrapText="1"/>
    </xf>
    <xf numFmtId="49" fontId="0" fillId="0" borderId="36" xfId="0" applyNumberFormat="1" applyFont="1" applyBorder="1" applyAlignment="1">
      <alignment horizontal="center" vertical="center"/>
    </xf>
    <xf numFmtId="0" fontId="0" fillId="0" borderId="87" xfId="0" applyFont="1" applyBorder="1" applyAlignment="1">
      <alignment vertical="center"/>
    </xf>
    <xf numFmtId="164" fontId="10" fillId="0" borderId="87" xfId="1" applyNumberFormat="1" applyFont="1" applyBorder="1" applyAlignment="1">
      <alignment vertical="center"/>
    </xf>
    <xf numFmtId="164" fontId="10" fillId="0" borderId="5" xfId="1" applyNumberFormat="1" applyFont="1" applyBorder="1" applyAlignment="1">
      <alignment vertical="center"/>
    </xf>
    <xf numFmtId="49" fontId="19" fillId="5" borderId="36" xfId="0" applyNumberFormat="1" applyFont="1" applyFill="1" applyBorder="1" applyAlignment="1">
      <alignment horizontal="center" vertical="center"/>
    </xf>
    <xf numFmtId="0" fontId="19" fillId="5" borderId="87" xfId="0" applyFont="1" applyFill="1" applyBorder="1" applyAlignment="1">
      <alignment horizontal="left" vertical="center"/>
    </xf>
    <xf numFmtId="49" fontId="83" fillId="0" borderId="36" xfId="0" applyNumberFormat="1" applyFont="1" applyBorder="1" applyAlignment="1">
      <alignment horizontal="center" vertical="center"/>
    </xf>
    <xf numFmtId="0" fontId="83" fillId="0" borderId="87" xfId="0" applyFont="1" applyBorder="1" applyAlignment="1">
      <alignment vertical="center"/>
    </xf>
    <xf numFmtId="49" fontId="0" fillId="0" borderId="1" xfId="0" applyNumberFormat="1" applyFont="1" applyBorder="1" applyAlignment="1">
      <alignment horizontal="center" wrapText="1"/>
    </xf>
    <xf numFmtId="0" fontId="0" fillId="0" borderId="1" xfId="0" applyFont="1" applyBorder="1" applyAlignment="1">
      <alignment wrapText="1"/>
    </xf>
    <xf numFmtId="164" fontId="10" fillId="0" borderId="1" xfId="1" applyNumberFormat="1" applyFont="1" applyBorder="1" applyAlignment="1">
      <alignment wrapText="1"/>
    </xf>
    <xf numFmtId="164" fontId="0" fillId="0" borderId="1" xfId="1" applyNumberFormat="1" applyFont="1" applyBorder="1" applyAlignment="1">
      <alignment wrapText="1"/>
    </xf>
    <xf numFmtId="49" fontId="19" fillId="5" borderId="1" xfId="0" applyNumberFormat="1" applyFont="1" applyFill="1" applyBorder="1" applyAlignment="1">
      <alignment horizontal="center" wrapText="1"/>
    </xf>
    <xf numFmtId="0" fontId="19" fillId="5" borderId="1" xfId="0" applyFont="1" applyFill="1" applyBorder="1" applyAlignment="1">
      <alignment horizontal="left" wrapText="1"/>
    </xf>
    <xf numFmtId="164" fontId="19" fillId="5" borderId="1" xfId="1" applyNumberFormat="1" applyFont="1" applyFill="1" applyBorder="1" applyAlignment="1">
      <alignment horizontal="left" wrapText="1"/>
    </xf>
    <xf numFmtId="164" fontId="10" fillId="17" borderId="1" xfId="1" applyNumberFormat="1" applyFont="1" applyFill="1" applyBorder="1" applyAlignment="1">
      <alignment wrapText="1"/>
    </xf>
    <xf numFmtId="164" fontId="19" fillId="0" borderId="1" xfId="1" applyNumberFormat="1" applyFont="1" applyBorder="1" applyAlignment="1">
      <alignment wrapText="1"/>
    </xf>
    <xf numFmtId="49" fontId="83" fillId="0" borderId="1" xfId="0" applyNumberFormat="1" applyFont="1" applyBorder="1" applyAlignment="1">
      <alignment horizontal="center" wrapText="1"/>
    </xf>
    <xf numFmtId="0" fontId="83" fillId="0" borderId="1" xfId="0" applyFont="1" applyBorder="1" applyAlignment="1">
      <alignment wrapText="1"/>
    </xf>
    <xf numFmtId="164" fontId="83" fillId="0" borderId="1" xfId="1" applyNumberFormat="1" applyFont="1" applyBorder="1" applyAlignment="1">
      <alignment wrapText="1"/>
    </xf>
    <xf numFmtId="0" fontId="117" fillId="21" borderId="91" xfId="0" applyFont="1" applyFill="1" applyBorder="1" applyAlignment="1">
      <alignment horizontal="center" vertical="center" wrapText="1"/>
    </xf>
    <xf numFmtId="0" fontId="43" fillId="21" borderId="63" xfId="0" applyFont="1" applyFill="1" applyBorder="1" applyAlignment="1">
      <alignment vertical="center" wrapText="1"/>
    </xf>
    <xf numFmtId="0" fontId="43" fillId="21" borderId="92" xfId="0" applyFont="1" applyFill="1" applyBorder="1" applyAlignment="1">
      <alignment vertical="center" wrapText="1"/>
    </xf>
    <xf numFmtId="0" fontId="119" fillId="21" borderId="65" xfId="0" applyFont="1" applyFill="1" applyBorder="1" applyAlignment="1">
      <alignment horizontal="center" vertical="center" wrapText="1"/>
    </xf>
    <xf numFmtId="0" fontId="72" fillId="21" borderId="0" xfId="0" applyFont="1" applyFill="1" applyAlignment="1">
      <alignment vertical="center" wrapText="1"/>
    </xf>
    <xf numFmtId="0" fontId="72" fillId="21" borderId="63" xfId="0" applyFont="1" applyFill="1" applyBorder="1" applyAlignment="1">
      <alignment vertical="center" wrapText="1"/>
    </xf>
    <xf numFmtId="0" fontId="119" fillId="21" borderId="0" xfId="0" applyFont="1" applyFill="1" applyBorder="1" applyAlignment="1">
      <alignment horizontal="center" vertical="center" wrapText="1"/>
    </xf>
    <xf numFmtId="0" fontId="119" fillId="21" borderId="72" xfId="0" applyFont="1" applyFill="1" applyBorder="1" applyAlignment="1">
      <alignment horizontal="center" vertical="center" wrapText="1"/>
    </xf>
    <xf numFmtId="0" fontId="119" fillId="21" borderId="63" xfId="0" applyFont="1" applyFill="1" applyBorder="1" applyAlignment="1">
      <alignment horizontal="center" vertical="center" wrapText="1"/>
    </xf>
    <xf numFmtId="0" fontId="119" fillId="21" borderId="70" xfId="0" applyFont="1" applyFill="1" applyBorder="1" applyAlignment="1">
      <alignment horizontal="center" vertical="center" wrapText="1"/>
    </xf>
    <xf numFmtId="49" fontId="0" fillId="0" borderId="35" xfId="0" applyNumberFormat="1" applyFont="1" applyBorder="1" applyAlignment="1">
      <alignment wrapText="1"/>
    </xf>
    <xf numFmtId="0" fontId="0" fillId="0" borderId="35" xfId="0" applyFont="1" applyBorder="1" applyAlignment="1">
      <alignment wrapText="1"/>
    </xf>
    <xf numFmtId="164" fontId="0" fillId="0" borderId="9" xfId="1" applyNumberFormat="1" applyFont="1" applyBorder="1" applyAlignment="1">
      <alignment wrapText="1"/>
    </xf>
    <xf numFmtId="49" fontId="0" fillId="5" borderId="1" xfId="0" applyNumberFormat="1" applyFont="1" applyFill="1" applyBorder="1" applyAlignment="1">
      <alignment wrapText="1"/>
    </xf>
    <xf numFmtId="49" fontId="0" fillId="0" borderId="1" xfId="0" applyNumberFormat="1" applyFont="1" applyBorder="1" applyAlignment="1">
      <alignment wrapText="1"/>
    </xf>
    <xf numFmtId="49" fontId="83" fillId="5" borderId="1" xfId="0" applyNumberFormat="1" applyFont="1" applyFill="1" applyBorder="1" applyAlignment="1">
      <alignment wrapText="1"/>
    </xf>
    <xf numFmtId="0" fontId="43" fillId="21" borderId="0" xfId="0" applyFont="1" applyFill="1"/>
    <xf numFmtId="0" fontId="43" fillId="21" borderId="0" xfId="0" applyFont="1" applyFill="1" applyBorder="1"/>
    <xf numFmtId="0" fontId="61" fillId="0" borderId="0" xfId="0" applyFont="1" applyBorder="1" applyAlignment="1">
      <alignment vertical="center"/>
    </xf>
    <xf numFmtId="0" fontId="117" fillId="21" borderId="59" xfId="0" applyFont="1" applyFill="1" applyBorder="1" applyAlignment="1">
      <alignment horizontal="center" vertical="center"/>
    </xf>
    <xf numFmtId="0" fontId="46" fillId="21" borderId="0" xfId="0" applyFont="1" applyFill="1" applyBorder="1" applyAlignment="1">
      <alignment vertical="center" wrapText="1"/>
    </xf>
    <xf numFmtId="0" fontId="46" fillId="21" borderId="28" xfId="0" applyFont="1" applyFill="1" applyBorder="1" applyAlignment="1">
      <alignment vertical="center" wrapText="1"/>
    </xf>
    <xf numFmtId="0" fontId="117" fillId="21" borderId="82" xfId="0" applyFont="1" applyFill="1" applyBorder="1" applyAlignment="1">
      <alignment horizontal="center" vertical="center" wrapText="1"/>
    </xf>
    <xf numFmtId="49" fontId="10" fillId="0" borderId="35"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49" fontId="35" fillId="0" borderId="1" xfId="0" applyNumberFormat="1" applyFont="1" applyBorder="1" applyAlignment="1">
      <alignment horizontal="center" vertical="center" wrapText="1"/>
    </xf>
    <xf numFmtId="49" fontId="120" fillId="0" borderId="1" xfId="0" applyNumberFormat="1" applyFont="1" applyBorder="1" applyAlignment="1">
      <alignment horizontal="center" vertical="center" wrapText="1"/>
    </xf>
    <xf numFmtId="0" fontId="67" fillId="21" borderId="0" xfId="0" applyFont="1" applyFill="1" applyAlignment="1">
      <alignment vertical="center" wrapText="1"/>
    </xf>
    <xf numFmtId="0" fontId="121" fillId="21" borderId="76" xfId="0" applyFont="1" applyFill="1" applyBorder="1" applyAlignment="1">
      <alignment horizontal="center" vertical="center" wrapText="1"/>
    </xf>
    <xf numFmtId="0" fontId="121" fillId="21" borderId="14" xfId="0" applyFont="1" applyFill="1" applyBorder="1" applyAlignment="1">
      <alignment horizontal="center" vertical="center" wrapText="1"/>
    </xf>
    <xf numFmtId="0" fontId="121" fillId="21" borderId="84" xfId="0" applyFont="1" applyFill="1" applyBorder="1" applyAlignment="1">
      <alignment horizontal="center" vertical="center" wrapText="1"/>
    </xf>
    <xf numFmtId="0" fontId="121" fillId="21" borderId="0" xfId="0" applyFont="1" applyFill="1" applyBorder="1" applyAlignment="1">
      <alignment horizontal="center" vertical="center" wrapText="1"/>
    </xf>
    <xf numFmtId="0" fontId="118" fillId="21" borderId="59" xfId="0" applyFont="1" applyFill="1" applyBorder="1" applyAlignment="1">
      <alignment horizontal="center" vertical="center" wrapText="1"/>
    </xf>
    <xf numFmtId="0" fontId="121" fillId="21" borderId="14" xfId="0" applyFont="1" applyFill="1" applyBorder="1" applyAlignment="1">
      <alignment vertical="center" wrapText="1"/>
    </xf>
    <xf numFmtId="0" fontId="121" fillId="21" borderId="13" xfId="0" applyFont="1" applyFill="1" applyBorder="1" applyAlignment="1">
      <alignment vertical="center" wrapText="1"/>
    </xf>
    <xf numFmtId="0" fontId="121" fillId="21" borderId="94" xfId="0" applyFont="1" applyFill="1" applyBorder="1" applyAlignment="1">
      <alignment horizontal="center" vertical="center" wrapText="1"/>
    </xf>
    <xf numFmtId="0" fontId="121" fillId="21" borderId="96" xfId="0" applyFont="1" applyFill="1" applyBorder="1" applyAlignment="1">
      <alignment horizontal="center" vertical="center" wrapText="1"/>
    </xf>
    <xf numFmtId="0" fontId="121" fillId="21" borderId="65" xfId="0" applyFont="1" applyFill="1" applyBorder="1" applyAlignment="1">
      <alignment horizontal="center" vertical="center" wrapText="1"/>
    </xf>
    <xf numFmtId="0" fontId="121" fillId="21" borderId="95" xfId="0" applyFont="1" applyFill="1" applyBorder="1" applyAlignment="1">
      <alignment horizontal="center" vertical="center" wrapText="1"/>
    </xf>
    <xf numFmtId="0" fontId="121" fillId="21" borderId="59" xfId="0" applyFont="1" applyFill="1" applyBorder="1" applyAlignment="1">
      <alignment horizontal="center" vertical="center" wrapText="1"/>
    </xf>
    <xf numFmtId="0" fontId="118" fillId="21" borderId="60" xfId="0" applyFont="1" applyFill="1" applyBorder="1" applyAlignment="1">
      <alignment horizontal="center" vertical="center" wrapText="1"/>
    </xf>
    <xf numFmtId="0" fontId="118" fillId="21" borderId="97" xfId="0" applyFont="1" applyFill="1" applyBorder="1" applyAlignment="1">
      <alignment horizontal="center" vertical="center" wrapText="1"/>
    </xf>
    <xf numFmtId="164" fontId="10" fillId="0" borderId="9" xfId="1" applyNumberFormat="1" applyFont="1" applyBorder="1" applyAlignment="1">
      <alignment horizontal="center" vertical="center" wrapText="1"/>
    </xf>
    <xf numFmtId="164" fontId="10" fillId="0" borderId="10" xfId="1" applyNumberFormat="1" applyFont="1" applyBorder="1" applyAlignment="1">
      <alignment horizontal="center" vertical="center" wrapText="1"/>
    </xf>
    <xf numFmtId="164" fontId="10" fillId="19" borderId="1" xfId="1" applyNumberFormat="1" applyFont="1" applyFill="1" applyBorder="1" applyAlignment="1">
      <alignment horizontal="center" vertical="center" wrapText="1"/>
    </xf>
    <xf numFmtId="0" fontId="44" fillId="0" borderId="1" xfId="0" applyFont="1" applyBorder="1" applyAlignment="1">
      <alignment vertical="center" wrapText="1"/>
    </xf>
    <xf numFmtId="164" fontId="10" fillId="0" borderId="7" xfId="1" applyNumberFormat="1" applyFont="1" applyBorder="1" applyAlignment="1">
      <alignment horizontal="center" vertical="center" wrapText="1"/>
    </xf>
    <xf numFmtId="164" fontId="10" fillId="0" borderId="8" xfId="1" applyNumberFormat="1" applyFont="1" applyBorder="1" applyAlignment="1">
      <alignment horizontal="center" vertical="center" wrapText="1"/>
    </xf>
    <xf numFmtId="0" fontId="0" fillId="0" borderId="9" xfId="0" applyBorder="1" applyAlignment="1">
      <alignment vertical="center" wrapText="1"/>
    </xf>
    <xf numFmtId="164" fontId="0" fillId="0" borderId="2" xfId="1" applyNumberFormat="1" applyFont="1" applyFill="1" applyBorder="1" applyAlignment="1">
      <alignment wrapText="1"/>
    </xf>
    <xf numFmtId="164" fontId="0" fillId="0" borderId="9" xfId="1" applyNumberFormat="1" applyFont="1" applyFill="1" applyBorder="1" applyAlignment="1">
      <alignment wrapText="1"/>
    </xf>
    <xf numFmtId="0" fontId="113" fillId="21" borderId="0" xfId="0" applyFont="1" applyFill="1" applyAlignment="1">
      <alignment vertical="center"/>
    </xf>
    <xf numFmtId="9" fontId="113" fillId="21" borderId="59"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9" xfId="0" applyFont="1" applyBorder="1" applyAlignment="1">
      <alignment vertical="center" wrapText="1"/>
    </xf>
    <xf numFmtId="164" fontId="0" fillId="6" borderId="1" xfId="1" applyNumberFormat="1" applyFont="1" applyFill="1" applyBorder="1" applyAlignment="1">
      <alignment vertical="center" wrapText="1"/>
    </xf>
    <xf numFmtId="164" fontId="41" fillId="6" borderId="1" xfId="1" applyNumberFormat="1" applyFont="1" applyFill="1" applyBorder="1" applyAlignment="1">
      <alignment vertical="center" wrapText="1"/>
    </xf>
    <xf numFmtId="164" fontId="5" fillId="0" borderId="1" xfId="1" applyNumberFormat="1" applyFont="1" applyBorder="1" applyAlignment="1">
      <alignment horizontal="center" vertical="center" wrapText="1"/>
    </xf>
    <xf numFmtId="164" fontId="0" fillId="0" borderId="1" xfId="1" applyNumberFormat="1" applyFont="1" applyFill="1" applyBorder="1" applyAlignment="1">
      <alignment vertical="center" wrapText="1"/>
    </xf>
    <xf numFmtId="164" fontId="5" fillId="5" borderId="9" xfId="1" applyNumberFormat="1" applyFont="1" applyFill="1" applyBorder="1" applyAlignment="1">
      <alignment horizontal="center" vertical="center" wrapText="1"/>
    </xf>
    <xf numFmtId="0" fontId="114" fillId="21" borderId="1" xfId="0" applyFont="1" applyFill="1" applyBorder="1" applyAlignment="1">
      <alignment horizontal="center" vertical="center"/>
    </xf>
    <xf numFmtId="0" fontId="13" fillId="21" borderId="0" xfId="0" applyFont="1" applyFill="1" applyAlignment="1">
      <alignment vertical="center" wrapText="1"/>
    </xf>
    <xf numFmtId="0" fontId="86" fillId="21" borderId="0" xfId="0" applyFont="1" applyFill="1"/>
    <xf numFmtId="0" fontId="13" fillId="21" borderId="59" xfId="0" applyFont="1" applyFill="1" applyBorder="1" applyAlignment="1">
      <alignment horizontal="center" vertical="center" wrapText="1"/>
    </xf>
    <xf numFmtId="0" fontId="123" fillId="21" borderId="59" xfId="0" applyFont="1" applyFill="1" applyBorder="1" applyAlignment="1">
      <alignment horizontal="center" vertical="center" wrapText="1"/>
    </xf>
    <xf numFmtId="0" fontId="123" fillId="21" borderId="0" xfId="0" applyFont="1" applyFill="1" applyAlignment="1">
      <alignment vertical="center"/>
    </xf>
    <xf numFmtId="164" fontId="0" fillId="0" borderId="9" xfId="1" applyNumberFormat="1" applyFont="1" applyFill="1" applyBorder="1" applyAlignment="1">
      <alignment vertical="center" wrapText="1"/>
    </xf>
    <xf numFmtId="0" fontId="5" fillId="0" borderId="1" xfId="0" applyFont="1" applyBorder="1" applyAlignment="1">
      <alignment horizontal="right" vertical="center" wrapText="1"/>
    </xf>
    <xf numFmtId="0" fontId="124" fillId="0" borderId="1" xfId="0" applyFont="1" applyBorder="1" applyAlignment="1">
      <alignment vertical="center" wrapText="1"/>
    </xf>
    <xf numFmtId="0" fontId="1" fillId="0" borderId="0" xfId="0" applyFont="1" applyAlignment="1">
      <alignment horizontal="center" vertical="center"/>
    </xf>
    <xf numFmtId="0" fontId="1" fillId="0" borderId="0" xfId="0" applyFont="1"/>
    <xf numFmtId="0" fontId="125" fillId="0" borderId="0" xfId="0" applyFont="1"/>
    <xf numFmtId="0" fontId="72" fillId="0" borderId="0" xfId="0" applyFont="1" applyAlignment="1">
      <alignment horizontal="center" vertical="center" wrapText="1"/>
    </xf>
    <xf numFmtId="0" fontId="72" fillId="0" borderId="0" xfId="0" applyFont="1" applyAlignment="1">
      <alignment vertical="center" wrapText="1"/>
    </xf>
    <xf numFmtId="0" fontId="31" fillId="0" borderId="0" xfId="0" applyFont="1" applyAlignment="1">
      <alignment horizontal="center" vertical="center" wrapText="1"/>
    </xf>
    <xf numFmtId="0" fontId="1" fillId="0" borderId="0" xfId="0" applyFont="1" applyAlignment="1">
      <alignment vertical="center" wrapText="1"/>
    </xf>
    <xf numFmtId="0" fontId="1" fillId="21" borderId="1" xfId="0" applyFont="1" applyFill="1" applyBorder="1" applyAlignment="1">
      <alignment horizontal="center" vertical="center" wrapText="1"/>
    </xf>
    <xf numFmtId="0" fontId="1" fillId="21" borderId="7" xfId="0" applyFont="1" applyFill="1" applyBorder="1" applyAlignment="1">
      <alignment vertical="center" wrapText="1"/>
    </xf>
    <xf numFmtId="0" fontId="32" fillId="0" borderId="0" xfId="0" applyFont="1" applyAlignment="1">
      <alignment vertical="center" wrapText="1"/>
    </xf>
    <xf numFmtId="164" fontId="1" fillId="5" borderId="9" xfId="1" applyNumberFormat="1" applyFont="1" applyFill="1" applyBorder="1" applyAlignment="1">
      <alignment vertical="center" wrapText="1"/>
    </xf>
    <xf numFmtId="164" fontId="1" fillId="6" borderId="9" xfId="1" applyNumberFormat="1" applyFont="1" applyFill="1" applyBorder="1" applyAlignment="1">
      <alignment vertical="center" wrapText="1"/>
    </xf>
    <xf numFmtId="164" fontId="1" fillId="0" borderId="9" xfId="1" applyNumberFormat="1" applyFont="1" applyBorder="1" applyAlignment="1">
      <alignment vertical="center" wrapText="1"/>
    </xf>
    <xf numFmtId="164" fontId="1" fillId="5" borderId="1" xfId="1" applyNumberFormat="1" applyFont="1" applyFill="1" applyBorder="1" applyAlignment="1">
      <alignment vertical="center" wrapText="1"/>
    </xf>
    <xf numFmtId="164" fontId="1" fillId="6" borderId="1" xfId="1" applyNumberFormat="1" applyFont="1" applyFill="1" applyBorder="1" applyAlignment="1">
      <alignment vertical="center" wrapText="1"/>
    </xf>
    <xf numFmtId="0" fontId="1" fillId="0" borderId="1" xfId="0" applyFont="1" applyBorder="1" applyAlignment="1">
      <alignment vertical="center" wrapText="1"/>
    </xf>
    <xf numFmtId="164" fontId="1" fillId="0" borderId="1" xfId="1" applyNumberFormat="1" applyFont="1" applyFill="1" applyBorder="1" applyAlignment="1">
      <alignment vertical="center" wrapText="1"/>
    </xf>
    <xf numFmtId="164" fontId="5" fillId="0" borderId="9" xfId="1" applyNumberFormat="1" applyFont="1" applyBorder="1" applyAlignment="1">
      <alignment vertical="center" wrapText="1"/>
    </xf>
    <xf numFmtId="0" fontId="114" fillId="21" borderId="0" xfId="0" applyFont="1" applyFill="1" applyBorder="1" applyAlignment="1">
      <alignment horizontal="center" vertical="center" wrapText="1"/>
    </xf>
    <xf numFmtId="9" fontId="114" fillId="21" borderId="59" xfId="0" applyNumberFormat="1" applyFont="1" applyFill="1" applyBorder="1" applyAlignment="1">
      <alignment horizontal="center" vertical="center" wrapText="1"/>
    </xf>
    <xf numFmtId="0" fontId="114" fillId="21" borderId="3" xfId="0" applyFont="1" applyFill="1" applyBorder="1" applyAlignment="1">
      <alignment horizontal="center" vertical="center"/>
    </xf>
    <xf numFmtId="0" fontId="126" fillId="21" borderId="0" xfId="0" applyFont="1" applyFill="1" applyAlignment="1">
      <alignment vertical="center" wrapText="1"/>
    </xf>
    <xf numFmtId="0" fontId="126" fillId="21" borderId="59" xfId="0" applyFont="1" applyFill="1" applyBorder="1" applyAlignment="1">
      <alignment horizontal="center" vertical="center" wrapText="1"/>
    </xf>
    <xf numFmtId="0" fontId="5" fillId="0" borderId="9" xfId="0" applyFont="1" applyBorder="1" applyAlignment="1">
      <alignment vertical="center" wrapText="1"/>
    </xf>
    <xf numFmtId="0" fontId="0" fillId="0" borderId="1" xfId="0" applyFont="1" applyBorder="1" applyAlignment="1">
      <alignment horizontal="center" wrapText="1"/>
    </xf>
    <xf numFmtId="0" fontId="0" fillId="0" borderId="0" xfId="0" applyFont="1" applyAlignment="1">
      <alignment wrapText="1"/>
    </xf>
    <xf numFmtId="0" fontId="94" fillId="0" borderId="0" xfId="0" applyFont="1" applyAlignment="1">
      <alignment wrapText="1"/>
    </xf>
    <xf numFmtId="0" fontId="0" fillId="21" borderId="0" xfId="0" applyFont="1" applyFill="1" applyAlignment="1">
      <alignment vertical="center" wrapText="1"/>
    </xf>
    <xf numFmtId="164" fontId="127" fillId="10" borderId="9" xfId="1" applyNumberFormat="1" applyFont="1" applyFill="1" applyBorder="1" applyAlignment="1">
      <alignment vertical="center" wrapText="1"/>
    </xf>
    <xf numFmtId="0" fontId="3" fillId="0" borderId="7" xfId="0" applyFont="1" applyBorder="1" applyAlignment="1">
      <alignment vertical="center" wrapText="1"/>
    </xf>
    <xf numFmtId="0" fontId="0" fillId="21" borderId="0" xfId="0" applyFont="1" applyFill="1" applyAlignment="1">
      <alignment wrapText="1"/>
    </xf>
    <xf numFmtId="0" fontId="0" fillId="0" borderId="7" xfId="0" applyFont="1" applyBorder="1" applyAlignment="1">
      <alignment horizontal="left" vertical="center" wrapText="1"/>
    </xf>
    <xf numFmtId="0" fontId="122" fillId="0" borderId="0" xfId="0" applyFont="1" applyAlignment="1">
      <alignment horizontal="left" vertical="top" wrapText="1"/>
    </xf>
    <xf numFmtId="164" fontId="1" fillId="0" borderId="0" xfId="0" applyNumberFormat="1" applyFont="1"/>
    <xf numFmtId="0" fontId="0" fillId="0" borderId="9" xfId="0" applyFont="1" applyBorder="1" applyAlignment="1">
      <alignment wrapText="1"/>
    </xf>
    <xf numFmtId="0" fontId="11" fillId="0" borderId="9" xfId="0" applyFont="1" applyBorder="1" applyAlignment="1">
      <alignment horizontal="justify" vertical="center" wrapText="1"/>
    </xf>
    <xf numFmtId="164" fontId="10" fillId="3" borderId="9" xfId="1" applyNumberFormat="1" applyFont="1" applyFill="1" applyBorder="1" applyAlignment="1">
      <alignment vertical="center" wrapText="1"/>
    </xf>
    <xf numFmtId="164" fontId="10" fillId="0" borderId="1" xfId="1" applyNumberFormat="1" applyFont="1" applyBorder="1" applyAlignment="1">
      <alignment vertical="center" wrapText="1"/>
    </xf>
    <xf numFmtId="164" fontId="10" fillId="3" borderId="1" xfId="1" applyNumberFormat="1" applyFont="1" applyFill="1" applyBorder="1" applyAlignment="1">
      <alignment vertical="center" wrapText="1"/>
    </xf>
    <xf numFmtId="49" fontId="114" fillId="21" borderId="77" xfId="7" applyNumberFormat="1" applyFont="1" applyFill="1" applyBorder="1" applyAlignment="1">
      <alignment horizontal="center" vertical="center" wrapText="1"/>
    </xf>
    <xf numFmtId="49" fontId="114" fillId="21" borderId="77" xfId="7" quotePrefix="1" applyNumberFormat="1" applyFont="1" applyFill="1" applyBorder="1" applyAlignment="1">
      <alignment horizontal="center" vertical="center" wrapText="1"/>
    </xf>
    <xf numFmtId="0" fontId="114" fillId="21" borderId="2" xfId="7" applyFont="1" applyFill="1" applyBorder="1" applyAlignment="1">
      <alignment horizontal="center" vertical="center" wrapText="1"/>
    </xf>
    <xf numFmtId="0" fontId="114" fillId="21" borderId="9" xfId="7" applyFont="1" applyFill="1" applyBorder="1" applyAlignment="1">
      <alignment horizontal="center" vertical="center" wrapText="1"/>
    </xf>
    <xf numFmtId="0" fontId="114" fillId="21" borderId="15" xfId="7" applyFont="1" applyFill="1" applyBorder="1" applyAlignment="1">
      <alignment horizontal="center" vertical="center" wrapText="1"/>
    </xf>
    <xf numFmtId="0" fontId="114" fillId="21" borderId="5" xfId="7" applyFont="1" applyFill="1" applyBorder="1" applyAlignment="1">
      <alignment horizontal="center" vertical="center" wrapText="1"/>
    </xf>
    <xf numFmtId="0" fontId="114" fillId="21" borderId="1" xfId="7" applyFont="1" applyFill="1" applyBorder="1" applyAlignment="1">
      <alignment horizontal="center" vertical="center" wrapText="1"/>
    </xf>
    <xf numFmtId="0" fontId="114" fillId="21" borderId="7" xfId="7" applyFont="1" applyFill="1" applyBorder="1" applyAlignment="1">
      <alignment horizontal="center" vertical="center" wrapText="1"/>
    </xf>
    <xf numFmtId="0" fontId="0" fillId="0" borderId="0" xfId="0" applyFont="1" applyAlignment="1">
      <alignment horizontal="center" vertical="center"/>
    </xf>
    <xf numFmtId="0" fontId="0" fillId="0" borderId="0" xfId="0" applyFont="1" applyAlignment="1">
      <alignment vertical="center" wrapText="1"/>
    </xf>
    <xf numFmtId="0" fontId="0" fillId="0" borderId="0" xfId="0" applyFont="1" applyAlignment="1">
      <alignment horizontal="left" vertical="center"/>
    </xf>
    <xf numFmtId="0" fontId="96" fillId="0" borderId="1" xfId="7" applyFont="1" applyBorder="1" applyAlignment="1">
      <alignment horizontal="left" vertical="center" wrapText="1"/>
    </xf>
    <xf numFmtId="164" fontId="97" fillId="0" borderId="1" xfId="1" applyNumberFormat="1" applyFont="1" applyFill="1" applyBorder="1" applyAlignment="1">
      <alignment wrapText="1"/>
    </xf>
    <xf numFmtId="0" fontId="114" fillId="21" borderId="102" xfId="0" applyFont="1" applyFill="1" applyBorder="1"/>
    <xf numFmtId="0" fontId="114" fillId="21" borderId="103" xfId="0" applyFont="1" applyFill="1" applyBorder="1"/>
    <xf numFmtId="0" fontId="114" fillId="21" borderId="104" xfId="0" applyFont="1" applyFill="1" applyBorder="1"/>
    <xf numFmtId="0" fontId="114" fillId="21" borderId="105" xfId="0" applyFont="1" applyFill="1" applyBorder="1"/>
    <xf numFmtId="0" fontId="114" fillId="21" borderId="3" xfId="0" applyFont="1" applyFill="1" applyBorder="1"/>
    <xf numFmtId="0" fontId="114" fillId="21" borderId="64" xfId="0" applyFont="1" applyFill="1" applyBorder="1"/>
    <xf numFmtId="49" fontId="129" fillId="21" borderId="78" xfId="8" applyNumberFormat="1" applyFont="1" applyFill="1" applyBorder="1" applyAlignment="1">
      <alignment horizontal="center" vertical="center" wrapText="1"/>
    </xf>
    <xf numFmtId="49" fontId="128" fillId="21" borderId="113" xfId="8" applyNumberFormat="1" applyFont="1" applyFill="1" applyBorder="1" applyAlignment="1">
      <alignment horizontal="center" vertical="center" wrapText="1"/>
    </xf>
    <xf numFmtId="0" fontId="6" fillId="4" borderId="1" xfId="9" applyFont="1" applyFill="1" applyBorder="1" applyAlignment="1">
      <alignment horizontal="center" vertical="center" wrapText="1"/>
    </xf>
    <xf numFmtId="164" fontId="5" fillId="13" borderId="37" xfId="1" applyNumberFormat="1" applyFont="1" applyFill="1" applyBorder="1" applyAlignment="1">
      <alignment wrapText="1"/>
    </xf>
    <xf numFmtId="164" fontId="6" fillId="0" borderId="38" xfId="1" applyNumberFormat="1" applyFont="1" applyFill="1" applyBorder="1" applyAlignment="1">
      <alignment horizontal="center" wrapText="1"/>
    </xf>
    <xf numFmtId="164" fontId="5" fillId="0" borderId="39" xfId="1" applyNumberFormat="1" applyFont="1" applyFill="1" applyBorder="1" applyAlignment="1">
      <alignment wrapText="1"/>
    </xf>
    <xf numFmtId="164" fontId="5" fillId="13" borderId="40" xfId="1" applyNumberFormat="1" applyFont="1" applyFill="1" applyBorder="1" applyAlignment="1">
      <alignment wrapText="1"/>
    </xf>
    <xf numFmtId="164" fontId="5" fillId="13" borderId="41" xfId="1" applyNumberFormat="1" applyFont="1" applyFill="1" applyBorder="1" applyAlignment="1">
      <alignment wrapText="1"/>
    </xf>
    <xf numFmtId="164" fontId="6" fillId="13" borderId="41" xfId="1" applyNumberFormat="1" applyFont="1" applyFill="1" applyBorder="1" applyAlignment="1">
      <alignment horizontal="center" wrapText="1"/>
    </xf>
    <xf numFmtId="164" fontId="5" fillId="7" borderId="40" xfId="1" applyNumberFormat="1" applyFont="1" applyFill="1" applyBorder="1" applyAlignment="1">
      <alignment wrapText="1"/>
    </xf>
    <xf numFmtId="164" fontId="5" fillId="7" borderId="41" xfId="1" applyNumberFormat="1" applyFont="1" applyFill="1" applyBorder="1" applyAlignment="1">
      <alignment wrapText="1"/>
    </xf>
    <xf numFmtId="164" fontId="5" fillId="0" borderId="42" xfId="1" applyNumberFormat="1" applyFont="1" applyFill="1" applyBorder="1" applyAlignment="1">
      <alignment wrapText="1"/>
    </xf>
    <xf numFmtId="164" fontId="5" fillId="0" borderId="43" xfId="1" applyNumberFormat="1" applyFont="1" applyFill="1" applyBorder="1" applyAlignment="1">
      <alignment wrapText="1"/>
    </xf>
    <xf numFmtId="164" fontId="5" fillId="0" borderId="44" xfId="1" applyNumberFormat="1" applyFont="1" applyFill="1" applyBorder="1" applyAlignment="1">
      <alignment wrapText="1"/>
    </xf>
    <xf numFmtId="164" fontId="5" fillId="0" borderId="45" xfId="1" applyNumberFormat="1" applyFont="1" applyFill="1" applyBorder="1" applyAlignment="1">
      <alignment wrapText="1"/>
    </xf>
    <xf numFmtId="164" fontId="5" fillId="0" borderId="46" xfId="1" applyNumberFormat="1" applyFont="1" applyFill="1" applyBorder="1" applyAlignment="1">
      <alignment wrapText="1"/>
    </xf>
    <xf numFmtId="0" fontId="6" fillId="0" borderId="1" xfId="0" applyFont="1" applyBorder="1" applyAlignment="1">
      <alignment wrapText="1"/>
    </xf>
    <xf numFmtId="0" fontId="6" fillId="0" borderId="1" xfId="0" applyFont="1" applyBorder="1" applyAlignment="1">
      <alignment horizontal="left" wrapText="1"/>
    </xf>
    <xf numFmtId="0" fontId="6" fillId="7" borderId="1" xfId="0" applyFont="1" applyFill="1" applyBorder="1" applyAlignment="1">
      <alignment horizontal="left" wrapText="1"/>
    </xf>
    <xf numFmtId="0" fontId="6" fillId="21" borderId="0" xfId="10" applyFont="1" applyFill="1" applyBorder="1" applyAlignment="1">
      <alignment vertical="center"/>
    </xf>
    <xf numFmtId="0" fontId="5" fillId="21" borderId="0" xfId="6" applyFont="1" applyFill="1">
      <alignment vertical="center"/>
    </xf>
    <xf numFmtId="0" fontId="5" fillId="21" borderId="0" xfId="3" applyFont="1" applyFill="1">
      <alignment vertical="center"/>
    </xf>
    <xf numFmtId="0" fontId="113" fillId="21" borderId="76" xfId="12" applyFont="1" applyFill="1" applyBorder="1" applyAlignment="1">
      <alignment horizontal="center" vertical="center" wrapText="1"/>
    </xf>
    <xf numFmtId="0" fontId="113" fillId="21" borderId="76" xfId="3" applyFont="1" applyFill="1" applyBorder="1" applyAlignment="1">
      <alignment horizontal="center" vertical="center" wrapText="1"/>
    </xf>
    <xf numFmtId="0" fontId="114" fillId="21" borderId="59" xfId="3" quotePrefix="1" applyFont="1" applyFill="1" applyBorder="1" applyAlignment="1">
      <alignment horizontal="center" vertical="center"/>
    </xf>
    <xf numFmtId="0" fontId="113" fillId="21" borderId="59" xfId="3" applyFont="1" applyFill="1" applyBorder="1" applyAlignment="1">
      <alignment horizontal="center" vertical="center" wrapText="1"/>
    </xf>
    <xf numFmtId="0" fontId="114" fillId="21" borderId="0" xfId="6" applyFont="1" applyFill="1" applyAlignment="1"/>
    <xf numFmtId="0" fontId="6" fillId="0" borderId="1" xfId="3" quotePrefix="1" applyFont="1" applyBorder="1" applyAlignment="1">
      <alignment horizontal="center" vertical="center" wrapText="1"/>
    </xf>
    <xf numFmtId="0" fontId="6" fillId="0" borderId="10" xfId="3" applyFont="1" applyBorder="1" applyAlignment="1">
      <alignment horizontal="left" vertical="center" wrapText="1"/>
    </xf>
    <xf numFmtId="164" fontId="5" fillId="0" borderId="9" xfId="1" applyNumberFormat="1" applyFont="1" applyFill="1" applyBorder="1" applyAlignment="1" applyProtection="1">
      <alignment horizontal="center" vertical="center" wrapText="1"/>
      <protection locked="0"/>
    </xf>
    <xf numFmtId="164" fontId="5" fillId="19" borderId="9" xfId="1" applyNumberFormat="1" applyFont="1" applyFill="1" applyBorder="1" applyAlignment="1" applyProtection="1">
      <alignment horizontal="center" vertical="center" wrapText="1"/>
      <protection locked="0"/>
    </xf>
    <xf numFmtId="164" fontId="5" fillId="19" borderId="2" xfId="1" applyNumberFormat="1" applyFont="1" applyFill="1" applyBorder="1" applyAlignment="1" applyProtection="1">
      <alignment horizontal="center" vertical="center" wrapText="1"/>
      <protection locked="0"/>
    </xf>
    <xf numFmtId="0" fontId="5" fillId="0" borderId="1" xfId="3" quotePrefix="1" applyFont="1" applyBorder="1" applyAlignment="1">
      <alignment horizontal="center" vertical="center" wrapText="1"/>
    </xf>
    <xf numFmtId="0" fontId="5" fillId="0" borderId="5" xfId="3" applyFont="1" applyBorder="1" applyAlignment="1">
      <alignment horizontal="left" vertical="center" wrapText="1"/>
    </xf>
    <xf numFmtId="164" fontId="5" fillId="0" borderId="1" xfId="1" applyNumberFormat="1" applyFont="1" applyFill="1" applyBorder="1" applyAlignment="1" applyProtection="1">
      <alignment horizontal="center" vertical="center" wrapText="1"/>
      <protection locked="0"/>
    </xf>
    <xf numFmtId="164" fontId="5" fillId="0" borderId="5" xfId="1" applyNumberFormat="1" applyFont="1" applyFill="1" applyBorder="1" applyAlignment="1" applyProtection="1">
      <alignment horizontal="center" vertical="center" wrapText="1"/>
      <protection locked="0"/>
    </xf>
    <xf numFmtId="0" fontId="5" fillId="0" borderId="13" xfId="3" applyFont="1" applyBorder="1" applyAlignment="1">
      <alignment horizontal="left" vertical="center" wrapText="1"/>
    </xf>
    <xf numFmtId="164" fontId="99" fillId="19" borderId="1" xfId="1" applyNumberFormat="1" applyFont="1" applyFill="1" applyBorder="1" applyAlignment="1" applyProtection="1">
      <alignment horizontal="center" vertical="center" wrapText="1"/>
      <protection locked="0"/>
    </xf>
    <xf numFmtId="164" fontId="99" fillId="19" borderId="5" xfId="1" applyNumberFormat="1" applyFont="1" applyFill="1" applyBorder="1" applyAlignment="1" applyProtection="1">
      <alignment horizontal="center" vertical="center" wrapText="1"/>
      <protection locked="0"/>
    </xf>
    <xf numFmtId="0" fontId="130" fillId="0" borderId="0" xfId="0" applyFont="1" applyAlignment="1">
      <alignment vertical="center"/>
    </xf>
    <xf numFmtId="0" fontId="131" fillId="0" borderId="0" xfId="0" applyFont="1" applyAlignment="1">
      <alignment vertical="center"/>
    </xf>
    <xf numFmtId="0" fontId="132" fillId="0" borderId="0" xfId="0" applyFont="1" applyAlignment="1">
      <alignment vertical="center"/>
    </xf>
    <xf numFmtId="0" fontId="0" fillId="0" borderId="0" xfId="0" applyAlignment="1">
      <alignment horizontal="left"/>
    </xf>
    <xf numFmtId="0" fontId="133" fillId="0" borderId="0" xfId="0" applyFont="1" applyAlignment="1">
      <alignment vertical="center"/>
    </xf>
    <xf numFmtId="0" fontId="0" fillId="0" borderId="0" xfId="0" applyAlignment="1">
      <alignment horizontal="right" vertical="top"/>
    </xf>
    <xf numFmtId="0" fontId="135" fillId="0" borderId="0" xfId="0" applyFont="1" applyAlignment="1">
      <alignment vertical="center"/>
    </xf>
    <xf numFmtId="0" fontId="136" fillId="0" borderId="0" xfId="0" applyFont="1" applyAlignment="1">
      <alignment vertical="center"/>
    </xf>
    <xf numFmtId="0" fontId="110" fillId="0" borderId="0" xfId="13" applyAlignment="1">
      <alignment horizontal="left"/>
    </xf>
    <xf numFmtId="6" fontId="114" fillId="21" borderId="59" xfId="0" applyNumberFormat="1" applyFont="1" applyFill="1" applyBorder="1" applyAlignment="1">
      <alignment horizontal="center" vertical="center" wrapText="1"/>
    </xf>
    <xf numFmtId="0" fontId="137" fillId="21" borderId="0" xfId="0" applyFont="1" applyFill="1"/>
    <xf numFmtId="0" fontId="113" fillId="21" borderId="0" xfId="0" applyFont="1" applyFill="1" applyAlignment="1">
      <alignment horizontal="center"/>
    </xf>
    <xf numFmtId="0" fontId="3" fillId="0" borderId="6" xfId="0" applyFont="1" applyBorder="1"/>
    <xf numFmtId="0" fontId="0" fillId="0" borderId="5" xfId="0" applyBorder="1"/>
    <xf numFmtId="0" fontId="0" fillId="0" borderId="8" xfId="0" applyBorder="1"/>
    <xf numFmtId="0" fontId="5" fillId="0" borderId="14" xfId="0" applyFont="1" applyBorder="1"/>
    <xf numFmtId="0" fontId="110" fillId="0" borderId="14" xfId="13" applyBorder="1" applyAlignment="1">
      <alignment horizontal="center"/>
    </xf>
    <xf numFmtId="0" fontId="0" fillId="0" borderId="13" xfId="0" applyBorder="1"/>
    <xf numFmtId="0" fontId="0" fillId="0" borderId="3" xfId="0" applyFont="1" applyBorder="1"/>
    <xf numFmtId="0" fontId="110" fillId="0" borderId="3" xfId="13" applyBorder="1" applyAlignment="1">
      <alignment horizontal="center"/>
    </xf>
    <xf numFmtId="0" fontId="0" fillId="0" borderId="2" xfId="0" applyBorder="1"/>
    <xf numFmtId="0" fontId="0" fillId="0" borderId="14" xfId="0" applyFont="1" applyBorder="1" applyAlignment="1">
      <alignment horizontal="left" wrapText="1"/>
    </xf>
    <xf numFmtId="0" fontId="0" fillId="0" borderId="13" xfId="0" applyFont="1" applyBorder="1"/>
    <xf numFmtId="0" fontId="0" fillId="0" borderId="34" xfId="0" applyBorder="1"/>
    <xf numFmtId="0" fontId="0" fillId="0" borderId="0" xfId="0" applyFont="1" applyBorder="1" applyAlignment="1">
      <alignment horizontal="left" wrapText="1"/>
    </xf>
    <xf numFmtId="0" fontId="110" fillId="0" borderId="0" xfId="13" applyBorder="1" applyAlignment="1">
      <alignment horizontal="center"/>
    </xf>
    <xf numFmtId="0" fontId="0" fillId="0" borderId="4" xfId="0" applyBorder="1"/>
    <xf numFmtId="0" fontId="0" fillId="0" borderId="0" xfId="0" applyFont="1" applyBorder="1" applyAlignment="1"/>
    <xf numFmtId="0" fontId="0" fillId="0" borderId="3" xfId="0" applyFont="1" applyBorder="1" applyAlignment="1"/>
    <xf numFmtId="0" fontId="110" fillId="0" borderId="6" xfId="13" applyBorder="1" applyAlignment="1">
      <alignment horizontal="center"/>
    </xf>
    <xf numFmtId="0" fontId="0" fillId="0" borderId="14" xfId="0" applyFont="1" applyBorder="1" applyAlignment="1"/>
    <xf numFmtId="0" fontId="3" fillId="0" borderId="6" xfId="0" applyFont="1" applyBorder="1" applyAlignment="1"/>
    <xf numFmtId="0" fontId="0" fillId="0" borderId="3" xfId="0" applyFont="1" applyBorder="1" applyAlignment="1">
      <alignment horizontal="left" wrapText="1"/>
    </xf>
    <xf numFmtId="0" fontId="0" fillId="0" borderId="0" xfId="0" applyBorder="1"/>
    <xf numFmtId="0" fontId="0" fillId="0" borderId="6" xfId="0" applyFont="1" applyBorder="1" applyAlignment="1">
      <alignment horizontal="left" wrapText="1"/>
    </xf>
    <xf numFmtId="0" fontId="0" fillId="0" borderId="14" xfId="0" applyBorder="1"/>
    <xf numFmtId="0" fontId="0" fillId="0" borderId="6" xfId="0" applyBorder="1"/>
    <xf numFmtId="0" fontId="0" fillId="7" borderId="7" xfId="0" applyFill="1" applyBorder="1"/>
    <xf numFmtId="0" fontId="3" fillId="7" borderId="6" xfId="0" applyFont="1" applyFill="1" applyBorder="1"/>
    <xf numFmtId="0" fontId="0" fillId="7" borderId="5" xfId="0" applyFill="1" applyBorder="1"/>
    <xf numFmtId="0" fontId="113" fillId="21" borderId="0" xfId="0" applyFont="1" applyFill="1"/>
    <xf numFmtId="0" fontId="114" fillId="21" borderId="90" xfId="0" applyFont="1" applyFill="1" applyBorder="1"/>
    <xf numFmtId="0" fontId="114" fillId="21" borderId="63" xfId="0" applyFont="1" applyFill="1" applyBorder="1"/>
    <xf numFmtId="0" fontId="114" fillId="21" borderId="93" xfId="0" applyFont="1" applyFill="1" applyBorder="1" applyAlignment="1">
      <alignment horizontal="center"/>
    </xf>
    <xf numFmtId="0" fontId="114" fillId="21" borderId="101" xfId="0" applyFont="1" applyFill="1" applyBorder="1"/>
    <xf numFmtId="0" fontId="113" fillId="21" borderId="65" xfId="0" applyFont="1" applyFill="1" applyBorder="1" applyAlignment="1">
      <alignment horizontal="center" wrapText="1"/>
    </xf>
    <xf numFmtId="0" fontId="0" fillId="21" borderId="0" xfId="0" applyFill="1" applyBorder="1"/>
    <xf numFmtId="0" fontId="114" fillId="21" borderId="69" xfId="0" applyFont="1" applyFill="1" applyBorder="1"/>
    <xf numFmtId="0" fontId="0" fillId="21" borderId="63" xfId="0" applyFill="1" applyBorder="1"/>
    <xf numFmtId="0" fontId="114" fillId="21" borderId="70" xfId="0" applyFont="1" applyFill="1" applyBorder="1"/>
    <xf numFmtId="0" fontId="114" fillId="21" borderId="59" xfId="0" applyFont="1" applyFill="1" applyBorder="1" applyAlignment="1">
      <alignment horizontal="center" vertical="center"/>
    </xf>
    <xf numFmtId="0" fontId="114" fillId="21" borderId="59" xfId="0" applyFont="1" applyFill="1" applyBorder="1" applyAlignment="1">
      <alignment horizontal="center" vertical="center" wrapText="1"/>
    </xf>
    <xf numFmtId="0" fontId="5" fillId="0" borderId="11" xfId="0" applyFont="1" applyBorder="1" applyAlignment="1">
      <alignment horizontal="center" vertical="center"/>
    </xf>
    <xf numFmtId="0" fontId="5" fillId="0" borderId="9" xfId="0" applyFont="1" applyBorder="1" applyAlignment="1">
      <alignment horizontal="left" vertical="center" wrapText="1"/>
    </xf>
    <xf numFmtId="0" fontId="114" fillId="21" borderId="77" xfId="0" applyFont="1" applyFill="1" applyBorder="1" applyAlignment="1">
      <alignment horizontal="center"/>
    </xf>
    <xf numFmtId="0" fontId="114" fillId="21" borderId="59" xfId="0" applyFont="1" applyFill="1" applyBorder="1" applyAlignment="1">
      <alignment horizontal="center"/>
    </xf>
    <xf numFmtId="0" fontId="43" fillId="0" borderId="0" xfId="0" applyFont="1" applyBorder="1"/>
    <xf numFmtId="0" fontId="43" fillId="0" borderId="0" xfId="0" applyFont="1"/>
    <xf numFmtId="0" fontId="123" fillId="21" borderId="59" xfId="0" applyFont="1" applyFill="1" applyBorder="1" applyAlignment="1">
      <alignment horizontal="center" vertical="center" wrapText="1"/>
    </xf>
    <xf numFmtId="0" fontId="114" fillId="21" borderId="59" xfId="0" applyFont="1" applyFill="1" applyBorder="1" applyAlignment="1">
      <alignment horizontal="center" vertical="center" wrapText="1"/>
    </xf>
    <xf numFmtId="0" fontId="0" fillId="0" borderId="8" xfId="0" applyBorder="1" applyAlignment="1">
      <alignment vertical="top"/>
    </xf>
    <xf numFmtId="0" fontId="113" fillId="21" borderId="8" xfId="0" applyFont="1" applyFill="1" applyBorder="1"/>
    <xf numFmtId="0" fontId="114" fillId="21" borderId="14" xfId="0" applyFont="1" applyFill="1" applyBorder="1"/>
    <xf numFmtId="0" fontId="114" fillId="21" borderId="13" xfId="0" applyFont="1" applyFill="1" applyBorder="1"/>
    <xf numFmtId="0" fontId="0" fillId="0" borderId="0" xfId="0" applyFont="1" applyBorder="1"/>
    <xf numFmtId="0" fontId="0" fillId="0" borderId="34" xfId="0" applyBorder="1" applyAlignment="1">
      <alignment vertical="top"/>
    </xf>
    <xf numFmtId="0" fontId="36" fillId="21" borderId="0" xfId="0" applyFont="1" applyFill="1" applyAlignment="1">
      <alignment horizontal="center" vertical="center" wrapText="1"/>
    </xf>
    <xf numFmtId="0" fontId="36" fillId="21" borderId="0" xfId="0" applyFont="1" applyFill="1" applyAlignment="1">
      <alignment horizontal="center" vertical="center"/>
    </xf>
    <xf numFmtId="164" fontId="36" fillId="6" borderId="9" xfId="1" applyNumberFormat="1" applyFont="1" applyFill="1" applyBorder="1" applyAlignment="1">
      <alignment vertical="center"/>
    </xf>
    <xf numFmtId="164" fontId="36" fillId="0" borderId="9" xfId="1" applyNumberFormat="1" applyFont="1" applyBorder="1" applyAlignment="1">
      <alignment vertical="center"/>
    </xf>
    <xf numFmtId="0" fontId="123" fillId="21" borderId="77" xfId="0" applyFont="1" applyFill="1" applyBorder="1" applyAlignment="1">
      <alignment horizontal="center" vertical="center" wrapText="1"/>
    </xf>
    <xf numFmtId="0" fontId="5" fillId="21" borderId="0" xfId="0" applyFont="1" applyFill="1" applyAlignment="1">
      <alignment vertical="center"/>
    </xf>
    <xf numFmtId="0" fontId="5" fillId="21" borderId="3" xfId="0" applyFont="1" applyFill="1" applyBorder="1" applyAlignment="1">
      <alignment vertical="center"/>
    </xf>
    <xf numFmtId="0" fontId="5" fillId="21" borderId="0" xfId="0" applyFont="1" applyFill="1" applyBorder="1" applyAlignment="1">
      <alignment vertical="center"/>
    </xf>
    <xf numFmtId="0" fontId="114" fillId="21" borderId="74" xfId="0" applyFont="1" applyFill="1" applyBorder="1" applyAlignment="1">
      <alignment horizontal="center"/>
    </xf>
    <xf numFmtId="0" fontId="114" fillId="21" borderId="3" xfId="0" applyFont="1" applyFill="1" applyBorder="1" applyAlignment="1">
      <alignment horizontal="center"/>
    </xf>
    <xf numFmtId="0" fontId="114" fillId="21" borderId="76" xfId="0" applyFont="1" applyFill="1" applyBorder="1" applyAlignment="1">
      <alignment horizontal="center"/>
    </xf>
    <xf numFmtId="0" fontId="5" fillId="0" borderId="9" xfId="0" applyFont="1" applyBorder="1" applyAlignment="1">
      <alignment vertical="center"/>
    </xf>
    <xf numFmtId="0" fontId="5" fillId="0" borderId="34" xfId="0" applyFont="1" applyBorder="1" applyAlignment="1">
      <alignment horizontal="center"/>
    </xf>
    <xf numFmtId="0" fontId="114" fillId="21" borderId="66" xfId="0" applyFont="1" applyFill="1" applyBorder="1" applyAlignment="1">
      <alignment horizontal="center"/>
    </xf>
    <xf numFmtId="0" fontId="114" fillId="21" borderId="66" xfId="0" applyFont="1" applyFill="1" applyBorder="1" applyAlignment="1">
      <alignment horizontal="center" vertical="center"/>
    </xf>
    <xf numFmtId="0" fontId="5" fillId="0" borderId="9" xfId="0" applyFont="1" applyBorder="1"/>
    <xf numFmtId="9" fontId="114" fillId="21" borderId="76" xfId="2" applyFont="1" applyFill="1" applyBorder="1" applyAlignment="1">
      <alignment horizontal="center" vertical="center" wrapText="1"/>
    </xf>
    <xf numFmtId="0" fontId="5" fillId="21" borderId="0" xfId="0" applyFont="1" applyFill="1" applyBorder="1"/>
    <xf numFmtId="0" fontId="5" fillId="21" borderId="3" xfId="0" applyFont="1" applyFill="1" applyBorder="1"/>
    <xf numFmtId="9" fontId="114" fillId="21" borderId="59" xfId="2" applyFont="1" applyFill="1" applyBorder="1" applyAlignment="1">
      <alignment horizontal="center" vertical="center" wrapText="1"/>
    </xf>
    <xf numFmtId="0" fontId="114" fillId="21" borderId="15" xfId="0" applyFont="1" applyFill="1" applyBorder="1" applyAlignment="1">
      <alignment horizontal="center"/>
    </xf>
    <xf numFmtId="0" fontId="6" fillId="21" borderId="0" xfId="0" applyFont="1" applyFill="1"/>
    <xf numFmtId="164" fontId="5" fillId="0" borderId="9" xfId="1" applyNumberFormat="1" applyFont="1" applyBorder="1"/>
    <xf numFmtId="0" fontId="114" fillId="21" borderId="59" xfId="0" applyFont="1" applyFill="1" applyBorder="1" applyAlignment="1">
      <alignment horizontal="left" vertical="top" wrapText="1"/>
    </xf>
    <xf numFmtId="0" fontId="100" fillId="0" borderId="9" xfId="8" applyFont="1" applyBorder="1" applyAlignment="1">
      <alignment wrapText="1"/>
    </xf>
    <xf numFmtId="164" fontId="0" fillId="0" borderId="9" xfId="1" applyNumberFormat="1" applyFont="1" applyBorder="1"/>
    <xf numFmtId="0" fontId="114" fillId="21" borderId="77" xfId="0" applyFont="1" applyFill="1" applyBorder="1" applyAlignment="1">
      <alignment horizontal="center" wrapText="1"/>
    </xf>
    <xf numFmtId="0" fontId="5" fillId="0" borderId="9" xfId="3" quotePrefix="1" applyFont="1" applyBorder="1" applyAlignment="1">
      <alignment horizontal="center" vertical="center"/>
    </xf>
    <xf numFmtId="0" fontId="114" fillId="21" borderId="0" xfId="3" quotePrefix="1" applyFont="1" applyFill="1" applyAlignment="1">
      <alignment horizontal="right" vertical="center"/>
    </xf>
    <xf numFmtId="0" fontId="114" fillId="21" borderId="0" xfId="3" applyFont="1" applyFill="1" applyAlignment="1">
      <alignment horizontal="left" vertical="center" wrapText="1" indent="1"/>
    </xf>
    <xf numFmtId="0" fontId="114" fillId="21" borderId="0" xfId="6" applyFont="1" applyFill="1">
      <alignment vertical="center"/>
    </xf>
    <xf numFmtId="0" fontId="114" fillId="21" borderId="0" xfId="6" applyFont="1" applyFill="1" applyAlignment="1">
      <alignment horizontal="left" vertical="center" wrapText="1" indent="1"/>
    </xf>
    <xf numFmtId="0" fontId="114" fillId="21" borderId="74" xfId="6" applyFont="1" applyFill="1" applyBorder="1">
      <alignment vertical="center"/>
    </xf>
    <xf numFmtId="0" fontId="113" fillId="21" borderId="59" xfId="12" applyFont="1" applyFill="1" applyBorder="1" applyAlignment="1">
      <alignment horizontal="center" vertical="center" wrapText="1"/>
    </xf>
    <xf numFmtId="0" fontId="113" fillId="21" borderId="69" xfId="12" applyFont="1" applyFill="1" applyBorder="1" applyAlignment="1">
      <alignment horizontal="center" vertical="center" wrapText="1"/>
    </xf>
    <xf numFmtId="0" fontId="126" fillId="21" borderId="0" xfId="3" applyFont="1" applyFill="1">
      <alignment vertical="center"/>
    </xf>
    <xf numFmtId="0" fontId="138" fillId="21" borderId="0" xfId="10" applyFont="1" applyFill="1" applyBorder="1" applyAlignment="1">
      <alignment vertical="center" wrapText="1"/>
    </xf>
    <xf numFmtId="0" fontId="139" fillId="21" borderId="59" xfId="12" applyFont="1" applyFill="1" applyBorder="1" applyAlignment="1">
      <alignment horizontal="center" vertical="center" wrapText="1"/>
    </xf>
    <xf numFmtId="0" fontId="139" fillId="21" borderId="59" xfId="12" applyFont="1" applyFill="1" applyBorder="1" applyAlignment="1">
      <alignment vertical="center" wrapText="1"/>
    </xf>
    <xf numFmtId="0" fontId="5" fillId="0" borderId="0" xfId="0" applyFont="1" applyBorder="1" applyAlignment="1">
      <alignment vertical="center"/>
    </xf>
    <xf numFmtId="4" fontId="5" fillId="0" borderId="1" xfId="4" applyNumberFormat="1" applyFont="1" applyFill="1" applyAlignment="1">
      <alignment horizontal="center" vertical="center" wrapText="1"/>
      <protection locked="0"/>
    </xf>
    <xf numFmtId="0" fontId="110" fillId="0" borderId="0" xfId="13"/>
    <xf numFmtId="0" fontId="114" fillId="21" borderId="59" xfId="0" applyFont="1" applyFill="1" applyBorder="1" applyAlignment="1">
      <alignment horizontal="center" vertical="center" wrapText="1"/>
    </xf>
    <xf numFmtId="0" fontId="10" fillId="0" borderId="0" xfId="0" applyFont="1" applyAlignment="1">
      <alignment vertical="center" wrapText="1"/>
    </xf>
    <xf numFmtId="0" fontId="43" fillId="0" borderId="0" xfId="0" applyFont="1"/>
    <xf numFmtId="164" fontId="0" fillId="5" borderId="1" xfId="1" applyNumberFormat="1" applyFont="1" applyFill="1" applyBorder="1" applyAlignment="1">
      <alignment vertical="center" wrapText="1"/>
    </xf>
    <xf numFmtId="0" fontId="140" fillId="0" borderId="0" xfId="6" applyFont="1" applyAlignment="1">
      <alignment vertical="top"/>
    </xf>
    <xf numFmtId="0" fontId="101" fillId="0" borderId="0" xfId="6" applyFont="1" applyAlignment="1">
      <alignment vertical="top"/>
    </xf>
    <xf numFmtId="0" fontId="101" fillId="0" borderId="0" xfId="6" applyFont="1" applyAlignment="1">
      <alignment vertical="top" wrapText="1"/>
    </xf>
    <xf numFmtId="0" fontId="101" fillId="0" borderId="0" xfId="10" applyFont="1" applyFill="1" applyBorder="1" applyAlignment="1">
      <alignment vertical="top"/>
    </xf>
    <xf numFmtId="0" fontId="140" fillId="12" borderId="0" xfId="6" applyFont="1" applyFill="1" applyAlignment="1">
      <alignment vertical="top"/>
    </xf>
    <xf numFmtId="0" fontId="140" fillId="0" borderId="0" xfId="6" applyFont="1">
      <alignment vertical="center"/>
    </xf>
    <xf numFmtId="0" fontId="140" fillId="12" borderId="0" xfId="6" applyFont="1" applyFill="1">
      <alignment vertical="center"/>
    </xf>
    <xf numFmtId="3" fontId="140" fillId="4" borderId="5" xfId="4" applyFont="1" applyFill="1" applyBorder="1" applyAlignment="1">
      <alignment horizontal="center" vertical="top"/>
      <protection locked="0"/>
    </xf>
    <xf numFmtId="0" fontId="141" fillId="0" borderId="0" xfId="0" applyFont="1"/>
    <xf numFmtId="0" fontId="141" fillId="0" borderId="0" xfId="0" quotePrefix="1" applyFont="1"/>
    <xf numFmtId="0" fontId="142" fillId="23" borderId="1" xfId="0" applyFont="1" applyFill="1" applyBorder="1" applyAlignment="1">
      <alignment horizontal="left" vertical="center" wrapText="1"/>
    </xf>
    <xf numFmtId="0" fontId="101" fillId="23" borderId="1" xfId="0" applyFont="1" applyFill="1" applyBorder="1" applyAlignment="1">
      <alignment horizontal="left" vertical="center" wrapText="1"/>
    </xf>
    <xf numFmtId="0" fontId="140" fillId="0" borderId="0" xfId="0" applyFont="1"/>
    <xf numFmtId="0" fontId="140" fillId="0" borderId="0" xfId="3" applyFont="1">
      <alignment vertical="center"/>
    </xf>
    <xf numFmtId="0" fontId="101" fillId="0" borderId="0" xfId="10" applyFont="1" applyFill="1" applyBorder="1" applyAlignment="1">
      <alignment horizontal="left" vertical="center"/>
    </xf>
    <xf numFmtId="0" fontId="143" fillId="0" borderId="0" xfId="11" applyFont="1" applyFill="1" applyBorder="1" applyAlignment="1"/>
    <xf numFmtId="167" fontId="5" fillId="0" borderId="0" xfId="0" applyNumberFormat="1" applyFont="1"/>
    <xf numFmtId="3" fontId="140" fillId="4" borderId="5" xfId="4" applyFont="1" applyFill="1" applyBorder="1" applyAlignment="1">
      <alignment horizontal="center" vertical="center"/>
      <protection locked="0"/>
    </xf>
    <xf numFmtId="0" fontId="5" fillId="0" borderId="1" xfId="3" applyFont="1" applyBorder="1" applyAlignment="1">
      <alignment horizontal="left" vertical="center" wrapText="1"/>
    </xf>
    <xf numFmtId="10" fontId="5" fillId="0" borderId="5" xfId="2" applyNumberFormat="1" applyFont="1" applyFill="1" applyBorder="1" applyAlignment="1" applyProtection="1">
      <alignment horizontal="right" vertical="center" wrapText="1"/>
      <protection locked="0"/>
    </xf>
    <xf numFmtId="0" fontId="9" fillId="0" borderId="1" xfId="0" applyFont="1" applyBorder="1" applyAlignment="1">
      <alignment horizontal="center" vertical="center"/>
    </xf>
    <xf numFmtId="0" fontId="9" fillId="0" borderId="1" xfId="0" applyFont="1" applyBorder="1" applyAlignment="1">
      <alignment horizontal="left" vertical="center" wrapText="1" indent="1"/>
    </xf>
    <xf numFmtId="0" fontId="9" fillId="23" borderId="1" xfId="0" applyFont="1" applyFill="1" applyBorder="1" applyAlignment="1">
      <alignment horizontal="center" vertical="center"/>
    </xf>
    <xf numFmtId="0" fontId="9" fillId="23" borderId="1" xfId="0" applyFont="1" applyFill="1" applyBorder="1" applyAlignment="1">
      <alignment horizontal="left" vertical="center" wrapText="1" indent="1"/>
    </xf>
    <xf numFmtId="0" fontId="7" fillId="0" borderId="1" xfId="0" applyFont="1" applyBorder="1" applyAlignment="1">
      <alignment horizontal="left" vertical="center" wrapText="1" indent="1"/>
    </xf>
    <xf numFmtId="0" fontId="7" fillId="0" borderId="1" xfId="0" applyFont="1" applyBorder="1" applyAlignment="1">
      <alignment horizontal="center" vertical="center"/>
    </xf>
    <xf numFmtId="0" fontId="30" fillId="23" borderId="1" xfId="0" applyFont="1" applyFill="1" applyBorder="1" applyAlignment="1">
      <alignment horizontal="center" vertical="center" wrapText="1"/>
    </xf>
    <xf numFmtId="0" fontId="9" fillId="0" borderId="1" xfId="0" applyFont="1" applyBorder="1" applyAlignment="1">
      <alignment horizontal="left" vertical="center" wrapText="1" indent="3"/>
    </xf>
    <xf numFmtId="0" fontId="30" fillId="4" borderId="10" xfId="0" applyFont="1" applyFill="1" applyBorder="1" applyAlignment="1">
      <alignment horizontal="left" vertical="center" wrapText="1"/>
    </xf>
    <xf numFmtId="0" fontId="30" fillId="4" borderId="1" xfId="0" applyFont="1" applyFill="1" applyBorder="1" applyAlignment="1">
      <alignment horizontal="left" vertical="center" wrapText="1"/>
    </xf>
    <xf numFmtId="0" fontId="7" fillId="0" borderId="7" xfId="0" applyFont="1" applyBorder="1" applyAlignment="1">
      <alignment horizontal="left" vertical="center" wrapText="1" indent="1"/>
    </xf>
    <xf numFmtId="0" fontId="144" fillId="23" borderId="9" xfId="0" applyFont="1" applyFill="1" applyBorder="1" applyAlignment="1">
      <alignment horizontal="left" vertical="center" wrapText="1"/>
    </xf>
    <xf numFmtId="0" fontId="144" fillId="23" borderId="1" xfId="0" applyFont="1" applyFill="1" applyBorder="1" applyAlignment="1">
      <alignment horizontal="left" vertical="center" wrapText="1"/>
    </xf>
    <xf numFmtId="0" fontId="7" fillId="0" borderId="1" xfId="0" applyFont="1" applyBorder="1" applyAlignment="1">
      <alignment horizontal="left" vertical="center" wrapText="1" indent="3"/>
    </xf>
    <xf numFmtId="0" fontId="9" fillId="7" borderId="1" xfId="0" applyFont="1" applyFill="1" applyBorder="1" applyAlignment="1">
      <alignment horizontal="left" vertical="center" wrapText="1" indent="3"/>
    </xf>
    <xf numFmtId="0" fontId="7" fillId="0" borderId="1" xfId="3" quotePrefix="1" applyFont="1" applyBorder="1" applyAlignment="1">
      <alignment horizontal="center" vertical="center"/>
    </xf>
    <xf numFmtId="0" fontId="7" fillId="0" borderId="1" xfId="3" applyFont="1" applyBorder="1" applyAlignment="1">
      <alignment horizontal="left" vertical="center" wrapText="1" indent="1"/>
    </xf>
    <xf numFmtId="0" fontId="114" fillId="21" borderId="59" xfId="0" applyFont="1" applyFill="1" applyBorder="1" applyAlignment="1">
      <alignment horizontal="center" vertical="center" wrapText="1"/>
    </xf>
    <xf numFmtId="164" fontId="0" fillId="5" borderId="1" xfId="1" applyNumberFormat="1" applyFont="1" applyFill="1" applyBorder="1" applyAlignment="1">
      <alignment vertical="center" wrapText="1"/>
    </xf>
    <xf numFmtId="164" fontId="1" fillId="0" borderId="5" xfId="1" applyNumberFormat="1" applyFont="1" applyBorder="1" applyAlignment="1">
      <alignment vertical="center"/>
    </xf>
    <xf numFmtId="164" fontId="1" fillId="0" borderId="5" xfId="1" applyNumberFormat="1" applyFont="1" applyBorder="1" applyAlignment="1">
      <alignment vertical="center" wrapText="1"/>
    </xf>
    <xf numFmtId="164" fontId="1" fillId="6" borderId="5" xfId="1" applyNumberFormat="1" applyFont="1" applyFill="1" applyBorder="1" applyAlignment="1">
      <alignment vertical="center" wrapText="1"/>
    </xf>
    <xf numFmtId="164" fontId="1" fillId="0" borderId="1" xfId="1" applyNumberFormat="1" applyFont="1" applyBorder="1" applyAlignment="1">
      <alignment vertical="center"/>
    </xf>
    <xf numFmtId="164" fontId="1" fillId="5" borderId="1" xfId="1" applyNumberFormat="1" applyFont="1" applyFill="1" applyBorder="1" applyAlignment="1">
      <alignment vertical="center"/>
    </xf>
    <xf numFmtId="1" fontId="0" fillId="0" borderId="1" xfId="0" applyNumberFormat="1" applyBorder="1" applyAlignment="1">
      <alignment horizontal="center" vertical="center"/>
    </xf>
    <xf numFmtId="164" fontId="5" fillId="0" borderId="1" xfId="0" applyNumberFormat="1" applyFont="1" applyBorder="1" applyAlignment="1">
      <alignment vertical="center" wrapText="1"/>
    </xf>
    <xf numFmtId="164" fontId="0" fillId="5" borderId="1" xfId="1" applyNumberFormat="1" applyFont="1" applyFill="1" applyBorder="1" applyAlignment="1">
      <alignment vertical="center" wrapText="1"/>
    </xf>
    <xf numFmtId="164" fontId="0" fillId="0" borderId="0" xfId="1" applyNumberFormat="1" applyFont="1" applyFill="1" applyBorder="1" applyAlignment="1">
      <alignment wrapText="1"/>
    </xf>
    <xf numFmtId="164" fontId="0" fillId="0" borderId="0" xfId="1" quotePrefix="1" applyNumberFormat="1" applyFont="1" applyFill="1" applyBorder="1" applyAlignment="1">
      <alignment wrapText="1"/>
    </xf>
    <xf numFmtId="164" fontId="0" fillId="0" borderId="13" xfId="1" applyNumberFormat="1" applyFont="1" applyFill="1" applyBorder="1" applyAlignment="1">
      <alignment wrapText="1"/>
    </xf>
    <xf numFmtId="164" fontId="0" fillId="0" borderId="10" xfId="1" applyNumberFormat="1" applyFont="1" applyFill="1" applyBorder="1" applyAlignment="1">
      <alignment wrapText="1"/>
    </xf>
    <xf numFmtId="164" fontId="0" fillId="0" borderId="14" xfId="1" applyNumberFormat="1" applyFont="1" applyFill="1" applyBorder="1" applyAlignment="1">
      <alignment wrapText="1"/>
    </xf>
    <xf numFmtId="164" fontId="0" fillId="0" borderId="34" xfId="1" applyNumberFormat="1" applyFont="1" applyFill="1" applyBorder="1" applyAlignment="1">
      <alignment wrapText="1"/>
    </xf>
    <xf numFmtId="0" fontId="132" fillId="0" borderId="0" xfId="0" applyFont="1" applyAlignment="1">
      <alignment horizontal="left" vertical="top" wrapText="1"/>
    </xf>
    <xf numFmtId="0" fontId="132" fillId="0" borderId="0" xfId="0" applyFont="1" applyAlignment="1">
      <alignment vertical="top" wrapText="1"/>
    </xf>
    <xf numFmtId="0" fontId="0" fillId="0" borderId="0" xfId="0" applyAlignment="1">
      <alignment vertical="top" wrapText="1"/>
    </xf>
    <xf numFmtId="0" fontId="43" fillId="0" borderId="0" xfId="0" applyFont="1" applyAlignment="1">
      <alignment horizontal="left" vertical="top" wrapText="1"/>
    </xf>
    <xf numFmtId="0" fontId="43" fillId="0" borderId="0" xfId="0" applyFont="1" applyAlignment="1">
      <alignment vertical="top" wrapText="1"/>
    </xf>
    <xf numFmtId="0" fontId="132" fillId="0" borderId="0" xfId="0" applyFont="1" applyAlignment="1">
      <alignment vertical="center" wrapText="1"/>
    </xf>
    <xf numFmtId="0" fontId="43" fillId="0" borderId="0" xfId="0" applyFont="1" applyAlignment="1">
      <alignment wrapText="1"/>
    </xf>
    <xf numFmtId="0" fontId="114" fillId="21" borderId="67" xfId="0" applyFont="1" applyFill="1" applyBorder="1" applyAlignment="1">
      <alignment horizontal="center" vertical="center" wrapText="1"/>
    </xf>
    <xf numFmtId="0" fontId="114" fillId="21" borderId="68" xfId="0" applyFont="1" applyFill="1" applyBorder="1" applyAlignment="1">
      <alignment horizontal="center" vertical="center" wrapText="1"/>
    </xf>
    <xf numFmtId="0" fontId="114" fillId="21" borderId="0" xfId="0" applyFont="1" applyFill="1" applyAlignment="1">
      <alignment horizontal="center" vertical="center" wrapText="1"/>
    </xf>
    <xf numFmtId="0" fontId="114" fillId="21" borderId="0" xfId="0" applyFont="1" applyFill="1" applyBorder="1" applyAlignment="1">
      <alignment horizontal="center" vertical="center" wrapText="1"/>
    </xf>
    <xf numFmtId="0" fontId="114" fillId="21" borderId="3" xfId="0" applyFont="1" applyFill="1" applyBorder="1" applyAlignment="1">
      <alignment horizontal="center" vertical="center" wrapText="1"/>
    </xf>
    <xf numFmtId="0" fontId="114" fillId="21" borderId="0" xfId="0" applyFont="1" applyFill="1" applyAlignment="1">
      <alignment horizontal="left" vertical="center" wrapText="1"/>
    </xf>
    <xf numFmtId="0" fontId="114" fillId="21" borderId="3" xfId="0" applyFont="1" applyFill="1" applyBorder="1" applyAlignment="1">
      <alignment horizontal="left" vertical="center" wrapText="1"/>
    </xf>
    <xf numFmtId="0" fontId="11" fillId="3" borderId="7"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11" fillId="3" borderId="5"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2" xfId="0" applyFont="1" applyFill="1" applyBorder="1" applyAlignment="1">
      <alignment horizontal="left" vertical="center" wrapText="1"/>
    </xf>
    <xf numFmtId="0" fontId="11" fillId="4" borderId="7" xfId="0" applyFont="1" applyFill="1" applyBorder="1" applyAlignment="1">
      <alignment horizontal="left" vertical="center" wrapText="1"/>
    </xf>
    <xf numFmtId="0" fontId="11" fillId="4" borderId="6" xfId="0" applyFont="1" applyFill="1" applyBorder="1" applyAlignment="1">
      <alignment horizontal="left" vertical="center" wrapText="1"/>
    </xf>
    <xf numFmtId="0" fontId="11" fillId="4" borderId="5" xfId="0" applyFont="1" applyFill="1" applyBorder="1" applyAlignment="1">
      <alignment horizontal="left" vertical="center" wrapText="1"/>
    </xf>
    <xf numFmtId="0" fontId="6" fillId="4" borderId="7" xfId="0" applyFont="1" applyFill="1" applyBorder="1" applyAlignment="1">
      <alignment horizontal="left" vertical="center" wrapText="1"/>
    </xf>
    <xf numFmtId="0" fontId="6" fillId="4" borderId="6" xfId="0" applyFont="1" applyFill="1" applyBorder="1" applyAlignment="1">
      <alignment horizontal="left" vertical="center" wrapText="1"/>
    </xf>
    <xf numFmtId="0" fontId="6" fillId="4" borderId="5" xfId="0" applyFont="1" applyFill="1" applyBorder="1" applyAlignment="1">
      <alignment horizontal="left" vertical="center" wrapText="1"/>
    </xf>
    <xf numFmtId="0" fontId="17" fillId="0" borderId="0" xfId="0" applyFont="1" applyAlignment="1">
      <alignment horizontal="justify" vertical="center" wrapText="1"/>
    </xf>
    <xf numFmtId="0" fontId="16" fillId="0" borderId="0" xfId="0" applyFont="1" applyAlignment="1">
      <alignment horizontal="justify" vertical="center" wrapText="1"/>
    </xf>
    <xf numFmtId="0" fontId="14" fillId="0" borderId="0" xfId="0" applyFont="1" applyAlignment="1">
      <alignment horizontal="justify" vertical="center" wrapText="1"/>
    </xf>
    <xf numFmtId="0" fontId="114" fillId="21" borderId="55" xfId="0" applyFont="1" applyFill="1" applyBorder="1" applyAlignment="1">
      <alignment horizontal="center" vertical="center" wrapText="1"/>
    </xf>
    <xf numFmtId="0" fontId="114" fillId="21" borderId="57" xfId="0" applyFont="1" applyFill="1" applyBorder="1" applyAlignment="1">
      <alignment horizontal="center" vertical="center" wrapText="1"/>
    </xf>
    <xf numFmtId="0" fontId="114" fillId="21" borderId="56" xfId="0" applyFont="1" applyFill="1" applyBorder="1" applyAlignment="1">
      <alignment horizontal="center" vertical="center" wrapText="1"/>
    </xf>
    <xf numFmtId="0" fontId="114" fillId="21" borderId="58" xfId="0" applyFont="1" applyFill="1" applyBorder="1" applyAlignment="1">
      <alignment horizontal="center" vertical="center" wrapText="1"/>
    </xf>
    <xf numFmtId="0" fontId="114" fillId="21" borderId="51" xfId="0" applyFont="1" applyFill="1" applyBorder="1" applyAlignment="1">
      <alignment horizontal="center" vertical="center" wrapText="1"/>
    </xf>
    <xf numFmtId="0" fontId="114" fillId="21" borderId="52" xfId="0" applyFont="1" applyFill="1" applyBorder="1" applyAlignment="1">
      <alignment horizontal="center" vertical="center" wrapText="1"/>
    </xf>
    <xf numFmtId="0" fontId="114" fillId="21" borderId="53" xfId="0" applyFont="1" applyFill="1" applyBorder="1" applyAlignment="1">
      <alignment horizontal="center" vertical="center" wrapText="1"/>
    </xf>
    <xf numFmtId="0" fontId="3" fillId="0" borderId="0" xfId="0" applyFont="1" applyAlignment="1">
      <alignment horizontal="justify" vertical="center" wrapText="1"/>
    </xf>
    <xf numFmtId="0" fontId="0" fillId="0" borderId="0" xfId="0" applyAlignment="1">
      <alignment horizontal="justify" vertical="center" wrapText="1"/>
    </xf>
    <xf numFmtId="0" fontId="15" fillId="0" borderId="0" xfId="0" applyFont="1" applyAlignment="1">
      <alignment horizontal="justify" vertical="center" wrapText="1"/>
    </xf>
    <xf numFmtId="0" fontId="115" fillId="22" borderId="62" xfId="0" applyFont="1" applyFill="1" applyBorder="1" applyAlignment="1">
      <alignment horizontal="center" vertical="center" wrapText="1"/>
    </xf>
    <xf numFmtId="0" fontId="115" fillId="22" borderId="61" xfId="0" applyFont="1" applyFill="1" applyBorder="1" applyAlignment="1">
      <alignment horizontal="center" vertical="center" wrapText="1"/>
    </xf>
    <xf numFmtId="0" fontId="115" fillId="22" borderId="59" xfId="0" applyFont="1" applyFill="1" applyBorder="1" applyAlignment="1">
      <alignment horizontal="center" vertical="center" wrapText="1"/>
    </xf>
    <xf numFmtId="0" fontId="114" fillId="21" borderId="0" xfId="0" applyFont="1" applyFill="1" applyAlignment="1">
      <alignment horizontal="left" vertical="center"/>
    </xf>
    <xf numFmtId="0" fontId="114" fillId="21" borderId="63" xfId="0" applyFont="1" applyFill="1" applyBorder="1" applyAlignment="1">
      <alignment horizontal="left" vertical="center"/>
    </xf>
    <xf numFmtId="0" fontId="114" fillId="21" borderId="3" xfId="0" applyFont="1" applyFill="1" applyBorder="1" applyAlignment="1">
      <alignment horizontal="left" vertical="center"/>
    </xf>
    <xf numFmtId="0" fontId="114" fillId="21" borderId="64" xfId="0" applyFont="1" applyFill="1" applyBorder="1" applyAlignment="1">
      <alignment horizontal="left" vertical="center"/>
    </xf>
    <xf numFmtId="0" fontId="114" fillId="21" borderId="59" xfId="0" applyFont="1" applyFill="1" applyBorder="1" applyAlignment="1">
      <alignment horizontal="center" vertical="center"/>
    </xf>
    <xf numFmtId="0" fontId="114" fillId="21" borderId="59" xfId="0" applyFont="1" applyFill="1" applyBorder="1" applyAlignment="1">
      <alignment horizontal="center" vertical="center" wrapText="1"/>
    </xf>
    <xf numFmtId="0" fontId="6" fillId="4" borderId="7"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5" xfId="0" applyFont="1" applyFill="1" applyBorder="1" applyAlignment="1">
      <alignment horizontal="center" vertical="center"/>
    </xf>
    <xf numFmtId="0" fontId="51" fillId="4" borderId="7" xfId="0" applyFont="1" applyFill="1" applyBorder="1" applyAlignment="1">
      <alignment horizontal="center" vertical="center"/>
    </xf>
    <xf numFmtId="0" fontId="51" fillId="4" borderId="6" xfId="0" applyFont="1" applyFill="1" applyBorder="1" applyAlignment="1">
      <alignment horizontal="center" vertical="center"/>
    </xf>
    <xf numFmtId="0" fontId="51" fillId="4" borderId="5" xfId="0" applyFont="1" applyFill="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9" xfId="0" applyFont="1" applyBorder="1" applyAlignment="1">
      <alignment horizontal="left" vertical="center" wrapText="1"/>
    </xf>
    <xf numFmtId="164" fontId="5" fillId="0" borderId="10" xfId="1" applyNumberFormat="1" applyFont="1" applyFill="1" applyBorder="1" applyAlignment="1">
      <alignment horizontal="center" vertical="center" wrapText="1"/>
    </xf>
    <xf numFmtId="164" fontId="5" fillId="0" borderId="11" xfId="1" applyNumberFormat="1" applyFont="1" applyFill="1" applyBorder="1" applyAlignment="1">
      <alignment horizontal="center" vertical="center" wrapText="1"/>
    </xf>
    <xf numFmtId="164" fontId="5" fillId="0" borderId="9" xfId="1" applyNumberFormat="1" applyFont="1" applyFill="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6" fillId="4" borderId="15"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10" fillId="0" borderId="0" xfId="0" applyFont="1" applyAlignment="1">
      <alignment vertical="center" wrapText="1"/>
    </xf>
    <xf numFmtId="0" fontId="11" fillId="6" borderId="7"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3" fillId="21" borderId="0" xfId="0" applyFont="1" applyFill="1" applyAlignment="1">
      <alignment horizontal="left" vertical="center" wrapText="1"/>
    </xf>
    <xf numFmtId="0" fontId="113" fillId="21" borderId="63" xfId="0" applyFont="1" applyFill="1" applyBorder="1" applyAlignment="1">
      <alignment horizontal="left" vertical="center" wrapText="1"/>
    </xf>
    <xf numFmtId="0" fontId="113" fillId="21" borderId="3" xfId="0" applyFont="1" applyFill="1" applyBorder="1" applyAlignment="1">
      <alignment horizontal="left" vertical="center" wrapText="1"/>
    </xf>
    <xf numFmtId="0" fontId="113" fillId="21" borderId="64" xfId="0" applyFont="1" applyFill="1" applyBorder="1" applyAlignment="1">
      <alignment horizontal="left" vertical="center" wrapText="1"/>
    </xf>
    <xf numFmtId="0" fontId="6" fillId="13" borderId="7" xfId="0" applyFont="1" applyFill="1" applyBorder="1" applyAlignment="1">
      <alignment horizontal="center" vertical="center" wrapText="1"/>
    </xf>
    <xf numFmtId="0" fontId="6" fillId="13" borderId="6" xfId="0" applyFont="1" applyFill="1" applyBorder="1" applyAlignment="1">
      <alignment horizontal="center" vertical="center" wrapText="1"/>
    </xf>
    <xf numFmtId="0" fontId="6" fillId="13" borderId="5" xfId="0" applyFont="1" applyFill="1" applyBorder="1" applyAlignment="1">
      <alignment horizontal="center" vertical="center" wrapText="1"/>
    </xf>
    <xf numFmtId="0" fontId="3" fillId="13" borderId="7" xfId="0" applyFont="1" applyFill="1" applyBorder="1" applyAlignment="1">
      <alignment horizontal="center" vertical="center" wrapText="1"/>
    </xf>
    <xf numFmtId="0" fontId="3" fillId="13" borderId="6" xfId="0" applyFont="1" applyFill="1" applyBorder="1" applyAlignment="1">
      <alignment horizontal="center" vertical="center" wrapText="1"/>
    </xf>
    <xf numFmtId="0" fontId="3" fillId="13" borderId="5" xfId="0" applyFont="1" applyFill="1" applyBorder="1" applyAlignment="1">
      <alignment horizontal="center" vertical="center" wrapText="1"/>
    </xf>
    <xf numFmtId="0" fontId="3" fillId="13" borderId="7" xfId="0" applyFont="1" applyFill="1" applyBorder="1" applyAlignment="1">
      <alignment horizontal="center"/>
    </xf>
    <xf numFmtId="0" fontId="3" fillId="13" borderId="6" xfId="0" applyFont="1" applyFill="1" applyBorder="1" applyAlignment="1">
      <alignment horizontal="center"/>
    </xf>
    <xf numFmtId="0" fontId="3" fillId="13" borderId="5" xfId="0" applyFont="1" applyFill="1" applyBorder="1" applyAlignment="1">
      <alignment horizontal="center"/>
    </xf>
    <xf numFmtId="164" fontId="113" fillId="21" borderId="59" xfId="1" applyNumberFormat="1" applyFont="1" applyFill="1" applyBorder="1" applyAlignment="1">
      <alignment horizontal="center" wrapText="1"/>
    </xf>
    <xf numFmtId="0" fontId="114" fillId="21" borderId="84" xfId="0" applyFont="1" applyFill="1" applyBorder="1" applyAlignment="1">
      <alignment horizontal="center"/>
    </xf>
    <xf numFmtId="0" fontId="114" fillId="21" borderId="77" xfId="0" applyFont="1" applyFill="1" applyBorder="1" applyAlignment="1">
      <alignment horizontal="center"/>
    </xf>
    <xf numFmtId="0" fontId="3" fillId="13" borderId="15" xfId="0" applyFont="1" applyFill="1" applyBorder="1" applyAlignment="1">
      <alignment horizontal="center"/>
    </xf>
    <xf numFmtId="0" fontId="3" fillId="13" borderId="3" xfId="0" applyFont="1" applyFill="1" applyBorder="1" applyAlignment="1">
      <alignment horizontal="center"/>
    </xf>
    <xf numFmtId="0" fontId="3" fillId="13" borderId="2" xfId="0" applyFont="1" applyFill="1" applyBorder="1" applyAlignment="1">
      <alignment horizontal="center"/>
    </xf>
    <xf numFmtId="0" fontId="6" fillId="13" borderId="7" xfId="0" applyFont="1" applyFill="1" applyBorder="1" applyAlignment="1">
      <alignment horizontal="center"/>
    </xf>
    <xf numFmtId="0" fontId="6" fillId="13" borderId="6" xfId="0" applyFont="1" applyFill="1" applyBorder="1" applyAlignment="1">
      <alignment horizontal="center"/>
    </xf>
    <xf numFmtId="0" fontId="6" fillId="13" borderId="5" xfId="0" applyFont="1" applyFill="1" applyBorder="1" applyAlignment="1">
      <alignment horizontal="center"/>
    </xf>
    <xf numFmtId="0" fontId="0" fillId="4" borderId="7" xfId="0" applyFill="1" applyBorder="1" applyAlignment="1">
      <alignment horizontal="left"/>
    </xf>
    <xf numFmtId="0" fontId="0" fillId="4" borderId="6" xfId="0" applyFill="1" applyBorder="1" applyAlignment="1">
      <alignment horizontal="left"/>
    </xf>
    <xf numFmtId="0" fontId="0" fillId="4" borderId="5" xfId="0" applyFill="1" applyBorder="1" applyAlignment="1">
      <alignment horizontal="left"/>
    </xf>
    <xf numFmtId="164" fontId="10" fillId="4" borderId="16" xfId="1" applyNumberFormat="1" applyFont="1" applyFill="1" applyBorder="1" applyAlignment="1">
      <alignment horizontal="center" vertical="center"/>
    </xf>
    <xf numFmtId="164" fontId="0" fillId="5" borderId="1" xfId="1" applyNumberFormat="1" applyFont="1" applyFill="1" applyBorder="1" applyAlignment="1">
      <alignment vertical="center" wrapText="1"/>
    </xf>
    <xf numFmtId="0" fontId="10" fillId="5" borderId="1" xfId="0" applyFont="1" applyFill="1" applyBorder="1" applyAlignment="1">
      <alignment horizontal="center" vertical="center" wrapText="1"/>
    </xf>
    <xf numFmtId="0" fontId="35" fillId="5" borderId="1" xfId="0" applyFont="1" applyFill="1" applyBorder="1" applyAlignment="1">
      <alignment vertical="center" wrapText="1"/>
    </xf>
    <xf numFmtId="0" fontId="10" fillId="5" borderId="1" xfId="0" applyFont="1" applyFill="1" applyBorder="1" applyAlignment="1">
      <alignment vertical="center" wrapText="1"/>
    </xf>
    <xf numFmtId="164" fontId="0" fillId="4" borderId="16" xfId="1" applyNumberFormat="1" applyFont="1" applyFill="1" applyBorder="1" applyAlignment="1">
      <alignment vertical="center" wrapText="1"/>
    </xf>
    <xf numFmtId="0" fontId="10" fillId="14" borderId="1" xfId="0" applyFont="1" applyFill="1" applyBorder="1" applyAlignment="1">
      <alignment vertical="center" wrapText="1"/>
    </xf>
    <xf numFmtId="164" fontId="41" fillId="4" borderId="16" xfId="1" applyNumberFormat="1" applyFont="1" applyFill="1" applyBorder="1" applyAlignment="1">
      <alignment vertical="center" wrapText="1"/>
    </xf>
    <xf numFmtId="0" fontId="10" fillId="14" borderId="15" xfId="0" applyFont="1" applyFill="1" applyBorder="1" applyAlignment="1">
      <alignment horizontal="left" vertical="center" wrapText="1"/>
    </xf>
    <xf numFmtId="0" fontId="10" fillId="14" borderId="3" xfId="0" applyFont="1" applyFill="1" applyBorder="1" applyAlignment="1">
      <alignment horizontal="left" vertical="center" wrapText="1"/>
    </xf>
    <xf numFmtId="0" fontId="10" fillId="14" borderId="2" xfId="0" applyFont="1" applyFill="1" applyBorder="1" applyAlignment="1">
      <alignment horizontal="left" vertical="center" wrapText="1"/>
    </xf>
    <xf numFmtId="0" fontId="0" fillId="4" borderId="16" xfId="0" applyFill="1" applyBorder="1" applyAlignment="1">
      <alignment vertical="center" wrapText="1"/>
    </xf>
    <xf numFmtId="0" fontId="10" fillId="14" borderId="7" xfId="0" applyFont="1" applyFill="1" applyBorder="1" applyAlignment="1">
      <alignment horizontal="left" vertical="center" wrapText="1"/>
    </xf>
    <xf numFmtId="0" fontId="10" fillId="14" borderId="6" xfId="0" applyFont="1" applyFill="1" applyBorder="1" applyAlignment="1">
      <alignment horizontal="left" vertical="center" wrapText="1"/>
    </xf>
    <xf numFmtId="0" fontId="10" fillId="14" borderId="5" xfId="0" applyFont="1" applyFill="1" applyBorder="1" applyAlignment="1">
      <alignment horizontal="left" vertical="center" wrapText="1"/>
    </xf>
    <xf numFmtId="6" fontId="114" fillId="21" borderId="0" xfId="0" applyNumberFormat="1" applyFont="1" applyFill="1" applyBorder="1" applyAlignment="1">
      <alignment horizontal="left" vertical="center"/>
    </xf>
    <xf numFmtId="6" fontId="114" fillId="21" borderId="63" xfId="0" applyNumberFormat="1" applyFont="1" applyFill="1" applyBorder="1" applyAlignment="1">
      <alignment horizontal="left" vertical="center"/>
    </xf>
    <xf numFmtId="6" fontId="114" fillId="21" borderId="69" xfId="0" applyNumberFormat="1" applyFont="1" applyFill="1" applyBorder="1" applyAlignment="1">
      <alignment horizontal="left" vertical="center"/>
    </xf>
    <xf numFmtId="6" fontId="114" fillId="21" borderId="70" xfId="0" applyNumberFormat="1" applyFont="1" applyFill="1" applyBorder="1" applyAlignment="1">
      <alignment horizontal="left" vertical="center"/>
    </xf>
    <xf numFmtId="0" fontId="114" fillId="21" borderId="76" xfId="0" applyFont="1" applyFill="1" applyBorder="1" applyAlignment="1">
      <alignment horizontal="center" vertical="center"/>
    </xf>
    <xf numFmtId="0" fontId="114" fillId="21" borderId="77" xfId="0" applyFont="1" applyFill="1" applyBorder="1" applyAlignment="1">
      <alignment horizontal="center" vertical="center"/>
    </xf>
    <xf numFmtId="0" fontId="3" fillId="13" borderId="7" xfId="0" applyFont="1" applyFill="1" applyBorder="1" applyAlignment="1">
      <alignment horizontal="left" vertical="center"/>
    </xf>
    <xf numFmtId="0" fontId="3" fillId="13" borderId="6" xfId="0" applyFont="1" applyFill="1" applyBorder="1" applyAlignment="1">
      <alignment horizontal="left" vertical="center"/>
    </xf>
    <xf numFmtId="0" fontId="3" fillId="13" borderId="5" xfId="0" applyFont="1" applyFill="1" applyBorder="1" applyAlignment="1">
      <alignment horizontal="left" vertical="center"/>
    </xf>
    <xf numFmtId="0" fontId="114" fillId="21" borderId="106" xfId="0" applyFont="1" applyFill="1" applyBorder="1" applyAlignment="1">
      <alignment horizontal="center" vertical="center" wrapText="1"/>
    </xf>
    <xf numFmtId="0" fontId="114" fillId="21" borderId="107" xfId="0" applyFont="1" applyFill="1" applyBorder="1" applyAlignment="1">
      <alignment horizontal="center" vertical="center" wrapText="1"/>
    </xf>
    <xf numFmtId="0" fontId="114" fillId="21" borderId="108" xfId="0" applyFont="1" applyFill="1" applyBorder="1" applyAlignment="1">
      <alignment horizontal="left" vertical="center" wrapText="1"/>
    </xf>
    <xf numFmtId="0" fontId="114" fillId="21" borderId="109" xfId="0" applyFont="1" applyFill="1" applyBorder="1" applyAlignment="1">
      <alignment horizontal="left" vertical="center" wrapText="1"/>
    </xf>
    <xf numFmtId="0" fontId="114" fillId="21" borderId="110" xfId="0" applyFont="1" applyFill="1" applyBorder="1" applyAlignment="1">
      <alignment horizontal="left" vertical="center" wrapText="1"/>
    </xf>
    <xf numFmtId="0" fontId="114" fillId="21" borderId="111" xfId="0" applyFont="1" applyFill="1" applyBorder="1" applyAlignment="1">
      <alignment horizontal="left" vertical="center" wrapText="1"/>
    </xf>
    <xf numFmtId="0" fontId="114" fillId="21" borderId="66" xfId="0" applyFont="1" applyFill="1" applyBorder="1" applyAlignment="1">
      <alignment horizontal="center" vertical="center" wrapText="1"/>
    </xf>
    <xf numFmtId="0" fontId="114" fillId="21" borderId="75" xfId="0" applyFont="1" applyFill="1" applyBorder="1" applyAlignment="1">
      <alignment horizontal="center" vertical="center" wrapText="1"/>
    </xf>
    <xf numFmtId="0" fontId="114" fillId="21" borderId="65" xfId="0" applyFont="1" applyFill="1" applyBorder="1" applyAlignment="1">
      <alignment horizontal="center" vertical="center" wrapText="1"/>
    </xf>
    <xf numFmtId="0" fontId="116" fillId="21" borderId="0" xfId="0" applyFont="1" applyFill="1" applyAlignment="1">
      <alignment horizontal="left" vertical="center" wrapText="1"/>
    </xf>
    <xf numFmtId="0" fontId="116" fillId="21" borderId="80" xfId="0" applyFont="1" applyFill="1" applyBorder="1" applyAlignment="1">
      <alignment horizontal="left" vertical="center" wrapText="1"/>
    </xf>
    <xf numFmtId="0" fontId="119" fillId="21" borderId="78" xfId="0" applyFont="1" applyFill="1" applyBorder="1" applyAlignment="1">
      <alignment horizontal="center" vertical="center" wrapText="1"/>
    </xf>
    <xf numFmtId="0" fontId="119" fillId="21" borderId="79" xfId="0" applyFont="1" applyFill="1" applyBorder="1" applyAlignment="1">
      <alignment horizontal="center" vertical="center" wrapText="1"/>
    </xf>
    <xf numFmtId="0" fontId="114" fillId="21" borderId="59" xfId="0" applyFont="1" applyFill="1" applyBorder="1" applyAlignment="1">
      <alignment horizontal="center"/>
    </xf>
    <xf numFmtId="0" fontId="114" fillId="21" borderId="64" xfId="0" applyFont="1" applyFill="1" applyBorder="1" applyAlignment="1">
      <alignment horizontal="left" vertical="center" wrapText="1"/>
    </xf>
    <xf numFmtId="0" fontId="117" fillId="21" borderId="59" xfId="0" applyFont="1" applyFill="1" applyBorder="1" applyAlignment="1">
      <alignment horizontal="center" vertical="center" wrapText="1"/>
    </xf>
    <xf numFmtId="0" fontId="117" fillId="21" borderId="76" xfId="0" applyFont="1" applyFill="1" applyBorder="1" applyAlignment="1">
      <alignment horizontal="center" vertical="center" wrapText="1"/>
    </xf>
    <xf numFmtId="0" fontId="117" fillId="21" borderId="84" xfId="0" applyFont="1" applyFill="1" applyBorder="1" applyAlignment="1">
      <alignment horizontal="center" vertical="center" wrapText="1"/>
    </xf>
    <xf numFmtId="0" fontId="117" fillId="21" borderId="0" xfId="0" applyFont="1" applyFill="1" applyBorder="1" applyAlignment="1">
      <alignment horizontal="center" vertical="center" wrapText="1"/>
    </xf>
    <xf numFmtId="0" fontId="117" fillId="21" borderId="83" xfId="0" applyFont="1" applyFill="1" applyBorder="1" applyAlignment="1">
      <alignment horizontal="center" vertical="center" wrapText="1"/>
    </xf>
    <xf numFmtId="0" fontId="117" fillId="21" borderId="86" xfId="0" applyFont="1" applyFill="1" applyBorder="1" applyAlignment="1">
      <alignment horizontal="center" vertical="center" wrapText="1"/>
    </xf>
    <xf numFmtId="0" fontId="43" fillId="21" borderId="0" xfId="0" applyFont="1" applyFill="1" applyAlignment="1">
      <alignment vertical="center" wrapText="1"/>
    </xf>
    <xf numFmtId="0" fontId="43" fillId="21" borderId="0" xfId="0" applyFont="1" applyFill="1" applyBorder="1" applyAlignment="1">
      <alignment vertical="center" wrapText="1"/>
    </xf>
    <xf numFmtId="0" fontId="117" fillId="21" borderId="90" xfId="0" applyFont="1" applyFill="1" applyBorder="1" applyAlignment="1">
      <alignment horizontal="center" vertical="center" wrapText="1"/>
    </xf>
    <xf numFmtId="0" fontId="117" fillId="21" borderId="62" xfId="0" applyFont="1" applyFill="1" applyBorder="1" applyAlignment="1">
      <alignment horizontal="center" vertical="center" wrapText="1"/>
    </xf>
    <xf numFmtId="0" fontId="117" fillId="21" borderId="66" xfId="0" applyFont="1" applyFill="1" applyBorder="1" applyAlignment="1">
      <alignment horizontal="center" vertical="center" wrapText="1"/>
    </xf>
    <xf numFmtId="0" fontId="117" fillId="21" borderId="75" xfId="0" applyFont="1" applyFill="1" applyBorder="1" applyAlignment="1">
      <alignment horizontal="center" vertical="center" wrapText="1"/>
    </xf>
    <xf numFmtId="0" fontId="117" fillId="21" borderId="65" xfId="0" applyFont="1" applyFill="1" applyBorder="1" applyAlignment="1">
      <alignment horizontal="center" vertical="center" wrapText="1"/>
    </xf>
    <xf numFmtId="0" fontId="117" fillId="21" borderId="72" xfId="0" applyFont="1" applyFill="1" applyBorder="1" applyAlignment="1">
      <alignment horizontal="center" vertical="center" wrapText="1"/>
    </xf>
    <xf numFmtId="0" fontId="117" fillId="21" borderId="88" xfId="0" applyFont="1" applyFill="1" applyBorder="1" applyAlignment="1">
      <alignment horizontal="center" vertical="center" wrapText="1"/>
    </xf>
    <xf numFmtId="0" fontId="117" fillId="21" borderId="73" xfId="0" applyFont="1" applyFill="1" applyBorder="1" applyAlignment="1">
      <alignment horizontal="center" vertical="center" wrapText="1"/>
    </xf>
    <xf numFmtId="0" fontId="43" fillId="0" borderId="0" xfId="0" applyFont="1" applyBorder="1"/>
    <xf numFmtId="0" fontId="119" fillId="21" borderId="0" xfId="0" applyFont="1" applyFill="1" applyBorder="1" applyAlignment="1">
      <alignment horizontal="center" vertical="center" wrapText="1"/>
    </xf>
    <xf numFmtId="0" fontId="119" fillId="21" borderId="76" xfId="0" applyFont="1" applyFill="1" applyBorder="1" applyAlignment="1">
      <alignment horizontal="center" vertical="center" wrapText="1"/>
    </xf>
    <xf numFmtId="0" fontId="119" fillId="21" borderId="84" xfId="0" applyFont="1" applyFill="1" applyBorder="1" applyAlignment="1">
      <alignment horizontal="center" vertical="center" wrapText="1"/>
    </xf>
    <xf numFmtId="0" fontId="119" fillId="21" borderId="77" xfId="0" applyFont="1" applyFill="1" applyBorder="1" applyAlignment="1">
      <alignment horizontal="center" vertical="center" wrapText="1"/>
    </xf>
    <xf numFmtId="0" fontId="119" fillId="21" borderId="72" xfId="0" applyFont="1" applyFill="1" applyBorder="1" applyAlignment="1">
      <alignment horizontal="center" vertical="center" wrapText="1"/>
    </xf>
    <xf numFmtId="0" fontId="119" fillId="21" borderId="73" xfId="0" applyFont="1" applyFill="1" applyBorder="1" applyAlignment="1">
      <alignment horizontal="center" vertical="center" wrapText="1"/>
    </xf>
    <xf numFmtId="0" fontId="116" fillId="21" borderId="84" xfId="0" applyFont="1" applyFill="1" applyBorder="1" applyAlignment="1">
      <alignment vertical="center" wrapText="1"/>
    </xf>
    <xf numFmtId="0" fontId="116" fillId="21" borderId="77" xfId="0" applyFont="1" applyFill="1" applyBorder="1" applyAlignment="1">
      <alignment vertical="center" wrapText="1"/>
    </xf>
    <xf numFmtId="0" fontId="116" fillId="21" borderId="0" xfId="0" applyFont="1" applyFill="1" applyBorder="1" applyAlignment="1">
      <alignment vertical="center" wrapText="1"/>
    </xf>
    <xf numFmtId="0" fontId="116" fillId="21" borderId="89" xfId="0" applyFont="1" applyFill="1" applyBorder="1" applyAlignment="1">
      <alignment vertical="center" wrapText="1"/>
    </xf>
    <xf numFmtId="0" fontId="113" fillId="21" borderId="60" xfId="0" applyFont="1" applyFill="1" applyBorder="1" applyAlignment="1">
      <alignment horizontal="center" vertical="center" wrapText="1"/>
    </xf>
    <xf numFmtId="0" fontId="113" fillId="21" borderId="98" xfId="0" applyFont="1" applyFill="1" applyBorder="1" applyAlignment="1">
      <alignment horizontal="center" vertical="center" wrapText="1"/>
    </xf>
    <xf numFmtId="0" fontId="113" fillId="21" borderId="61" xfId="0" applyFont="1" applyFill="1" applyBorder="1" applyAlignment="1">
      <alignment horizontal="center" vertical="center" wrapText="1"/>
    </xf>
    <xf numFmtId="0" fontId="113" fillId="21" borderId="59" xfId="0" applyFont="1" applyFill="1" applyBorder="1" applyAlignment="1">
      <alignment horizontal="center" vertical="center" wrapText="1"/>
    </xf>
    <xf numFmtId="0" fontId="113" fillId="21" borderId="66" xfId="0" applyFont="1" applyFill="1" applyBorder="1" applyAlignment="1">
      <alignment horizontal="center" vertical="center" wrapText="1"/>
    </xf>
    <xf numFmtId="0" fontId="113" fillId="21" borderId="75" xfId="0" applyFont="1" applyFill="1" applyBorder="1" applyAlignment="1">
      <alignment horizontal="center" vertical="center" wrapText="1"/>
    </xf>
    <xf numFmtId="0" fontId="113" fillId="21" borderId="65" xfId="0" applyFont="1" applyFill="1" applyBorder="1" applyAlignment="1">
      <alignment horizontal="center" vertical="center" wrapText="1"/>
    </xf>
    <xf numFmtId="9" fontId="113" fillId="21" borderId="59" xfId="0" applyNumberFormat="1" applyFont="1" applyFill="1" applyBorder="1" applyAlignment="1">
      <alignment horizontal="center" vertical="center" wrapText="1"/>
    </xf>
    <xf numFmtId="0" fontId="13" fillId="21" borderId="0" xfId="0" applyFont="1" applyFill="1" applyAlignment="1">
      <alignment vertical="center" wrapText="1"/>
    </xf>
    <xf numFmtId="0" fontId="123" fillId="21" borderId="59" xfId="0" applyFont="1" applyFill="1" applyBorder="1" applyAlignment="1">
      <alignment horizontal="center" vertical="center" wrapText="1"/>
    </xf>
    <xf numFmtId="0" fontId="123" fillId="21" borderId="76" xfId="0" applyFont="1" applyFill="1" applyBorder="1" applyAlignment="1">
      <alignment horizontal="center" vertical="center" wrapText="1"/>
    </xf>
    <xf numFmtId="0" fontId="114" fillId="21" borderId="60" xfId="0" applyFont="1" applyFill="1" applyBorder="1" applyAlignment="1">
      <alignment horizontal="center" vertical="center"/>
    </xf>
    <xf numFmtId="0" fontId="114" fillId="21" borderId="98" xfId="0" applyFont="1" applyFill="1" applyBorder="1" applyAlignment="1">
      <alignment horizontal="center" vertical="center"/>
    </xf>
    <xf numFmtId="0" fontId="114" fillId="21" borderId="61" xfId="0" applyFont="1" applyFill="1" applyBorder="1" applyAlignment="1">
      <alignment horizontal="center" vertical="center"/>
    </xf>
    <xf numFmtId="0" fontId="114" fillId="21" borderId="93" xfId="0" applyFont="1" applyFill="1" applyBorder="1" applyAlignment="1">
      <alignment horizontal="center" vertical="center" wrapText="1"/>
    </xf>
    <xf numFmtId="0" fontId="114" fillId="21" borderId="100" xfId="0" applyFont="1" applyFill="1" applyBorder="1" applyAlignment="1">
      <alignment horizontal="center" vertical="center" wrapText="1"/>
    </xf>
    <xf numFmtId="0" fontId="114" fillId="21" borderId="101" xfId="0" applyFont="1" applyFill="1" applyBorder="1" applyAlignment="1">
      <alignment horizontal="center" vertical="center" wrapText="1"/>
    </xf>
    <xf numFmtId="0" fontId="114" fillId="21" borderId="112" xfId="0" applyFont="1" applyFill="1" applyBorder="1" applyAlignment="1">
      <alignment horizontal="left" vertical="center" wrapText="1"/>
    </xf>
    <xf numFmtId="0" fontId="114" fillId="21" borderId="67" xfId="7" applyFont="1" applyFill="1" applyBorder="1" applyAlignment="1">
      <alignment horizontal="center" vertical="center" wrapText="1"/>
    </xf>
    <xf numFmtId="0" fontId="114" fillId="21" borderId="99" xfId="7" applyFont="1" applyFill="1" applyBorder="1" applyAlignment="1">
      <alignment horizontal="center" vertical="center" wrapText="1"/>
    </xf>
    <xf numFmtId="0" fontId="114" fillId="21" borderId="68" xfId="7" applyFont="1" applyFill="1" applyBorder="1" applyAlignment="1">
      <alignment horizontal="center" vertical="center" wrapText="1"/>
    </xf>
    <xf numFmtId="0" fontId="114" fillId="21" borderId="60" xfId="0" applyFont="1" applyFill="1" applyBorder="1" applyAlignment="1">
      <alignment horizontal="center" vertical="center" wrapText="1"/>
    </xf>
    <xf numFmtId="0" fontId="114" fillId="21" borderId="61" xfId="0" applyFont="1" applyFill="1" applyBorder="1" applyAlignment="1">
      <alignment horizontal="center" vertical="center" wrapText="1"/>
    </xf>
    <xf numFmtId="0" fontId="114" fillId="21" borderId="8" xfId="7" applyFont="1" applyFill="1" applyBorder="1" applyAlignment="1">
      <alignment horizontal="center" vertical="center" wrapText="1"/>
    </xf>
    <xf numFmtId="0" fontId="114" fillId="21" borderId="34" xfId="7" applyFont="1" applyFill="1" applyBorder="1" applyAlignment="1">
      <alignment horizontal="center" vertical="center" wrapText="1"/>
    </xf>
    <xf numFmtId="0" fontId="114" fillId="21" borderId="15" xfId="7" applyFont="1" applyFill="1" applyBorder="1" applyAlignment="1">
      <alignment horizontal="center" vertical="center" wrapText="1"/>
    </xf>
    <xf numFmtId="0" fontId="114" fillId="21" borderId="10" xfId="7" applyFont="1" applyFill="1" applyBorder="1" applyAlignment="1">
      <alignment horizontal="center" vertical="center" wrapText="1"/>
    </xf>
    <xf numFmtId="0" fontId="114" fillId="21" borderId="11" xfId="7" applyFont="1" applyFill="1" applyBorder="1" applyAlignment="1">
      <alignment horizontal="center" vertical="center" wrapText="1"/>
    </xf>
    <xf numFmtId="0" fontId="114" fillId="21" borderId="9" xfId="7" applyFont="1" applyFill="1" applyBorder="1" applyAlignment="1">
      <alignment horizontal="center" vertical="center" wrapText="1"/>
    </xf>
    <xf numFmtId="0" fontId="114" fillId="21" borderId="1" xfId="0" applyFont="1" applyFill="1" applyBorder="1" applyAlignment="1">
      <alignment horizontal="left" vertical="center"/>
    </xf>
    <xf numFmtId="0" fontId="114" fillId="21" borderId="7" xfId="0" applyFont="1" applyFill="1" applyBorder="1" applyAlignment="1">
      <alignment horizontal="left" vertical="center"/>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left" wrapText="1"/>
    </xf>
    <xf numFmtId="167" fontId="5" fillId="0" borderId="7" xfId="1" applyNumberFormat="1" applyFont="1" applyBorder="1" applyAlignment="1">
      <alignment horizontal="center" wrapText="1"/>
    </xf>
    <xf numFmtId="167" fontId="5" fillId="0" borderId="5" xfId="1" applyNumberFormat="1" applyFont="1" applyBorder="1" applyAlignment="1">
      <alignment horizontal="center" wrapText="1"/>
    </xf>
    <xf numFmtId="0" fontId="128" fillId="21" borderId="78" xfId="8" applyFont="1" applyFill="1" applyBorder="1" applyAlignment="1">
      <alignment horizontal="center" vertical="center"/>
    </xf>
    <xf numFmtId="167" fontId="5" fillId="0" borderId="47" xfId="1" applyNumberFormat="1" applyFont="1" applyFill="1" applyBorder="1" applyAlignment="1">
      <alignment horizontal="center" wrapText="1"/>
    </xf>
    <xf numFmtId="167" fontId="5" fillId="0" borderId="48" xfId="1" applyNumberFormat="1" applyFont="1" applyFill="1" applyBorder="1" applyAlignment="1">
      <alignment horizontal="center" wrapText="1"/>
    </xf>
    <xf numFmtId="167" fontId="5" fillId="0" borderId="49" xfId="1" applyNumberFormat="1" applyFont="1" applyFill="1" applyBorder="1" applyAlignment="1">
      <alignment horizontal="center" wrapText="1"/>
    </xf>
    <xf numFmtId="167" fontId="5" fillId="0" borderId="50" xfId="1" applyNumberFormat="1" applyFont="1" applyFill="1" applyBorder="1" applyAlignment="1">
      <alignment horizontal="center" wrapText="1"/>
    </xf>
    <xf numFmtId="167" fontId="5" fillId="0" borderId="6" xfId="1" applyNumberFormat="1" applyFont="1" applyFill="1" applyBorder="1" applyAlignment="1">
      <alignment horizontal="center" wrapText="1"/>
    </xf>
    <xf numFmtId="167" fontId="5" fillId="0" borderId="5" xfId="1" applyNumberFormat="1" applyFont="1" applyFill="1" applyBorder="1" applyAlignment="1">
      <alignment horizontal="center" wrapText="1"/>
    </xf>
    <xf numFmtId="0" fontId="113" fillId="21" borderId="59" xfId="3" applyFont="1" applyFill="1" applyBorder="1" applyAlignment="1">
      <alignment horizontal="center" vertical="center" wrapText="1"/>
    </xf>
    <xf numFmtId="0" fontId="6" fillId="4" borderId="7" xfId="0" applyFont="1" applyFill="1" applyBorder="1" applyAlignment="1">
      <alignment horizontal="left" vertical="center" wrapText="1" indent="1"/>
    </xf>
    <xf numFmtId="0" fontId="6" fillId="4" borderId="6" xfId="0" applyFont="1" applyFill="1" applyBorder="1" applyAlignment="1">
      <alignment horizontal="left" vertical="center" wrapText="1" indent="1"/>
    </xf>
    <xf numFmtId="0" fontId="114" fillId="21" borderId="14" xfId="0" applyFont="1" applyFill="1" applyBorder="1" applyAlignment="1">
      <alignment horizontal="left" vertical="center" wrapText="1"/>
    </xf>
    <xf numFmtId="0" fontId="114" fillId="21" borderId="114" xfId="0" applyFont="1" applyFill="1" applyBorder="1" applyAlignment="1">
      <alignment horizontal="left" vertical="center" wrapText="1"/>
    </xf>
    <xf numFmtId="0" fontId="113" fillId="21" borderId="76" xfId="12" applyFont="1" applyFill="1" applyBorder="1" applyAlignment="1">
      <alignment horizontal="center" vertical="center" wrapText="1"/>
    </xf>
    <xf numFmtId="0" fontId="113" fillId="21" borderId="62" xfId="12" applyFont="1" applyFill="1" applyBorder="1" applyAlignment="1">
      <alignment horizontal="center" vertical="center" wrapText="1"/>
    </xf>
    <xf numFmtId="0" fontId="114" fillId="21" borderId="112" xfId="0" applyFont="1" applyFill="1" applyBorder="1" applyAlignment="1">
      <alignment horizontal="left" wrapText="1"/>
    </xf>
    <xf numFmtId="0" fontId="114" fillId="21" borderId="111" xfId="0" applyFont="1" applyFill="1" applyBorder="1" applyAlignment="1">
      <alignment horizontal="left" wrapText="1"/>
    </xf>
    <xf numFmtId="0" fontId="114" fillId="21" borderId="62" xfId="0" applyFont="1" applyFill="1" applyBorder="1" applyAlignment="1">
      <alignment horizontal="center" vertical="center"/>
    </xf>
    <xf numFmtId="0" fontId="114" fillId="21" borderId="76" xfId="0" applyFont="1" applyFill="1" applyBorder="1" applyAlignment="1">
      <alignment horizontal="center" vertical="center" wrapText="1"/>
    </xf>
    <xf numFmtId="0" fontId="114" fillId="21" borderId="84" xfId="0" applyFont="1" applyFill="1" applyBorder="1" applyAlignment="1">
      <alignment horizontal="center" vertical="center" wrapText="1"/>
    </xf>
    <xf numFmtId="0" fontId="114" fillId="21" borderId="62" xfId="0" applyFont="1" applyFill="1" applyBorder="1" applyAlignment="1">
      <alignment horizontal="center" vertical="center" wrapText="1"/>
    </xf>
    <xf numFmtId="0" fontId="114" fillId="21" borderId="74" xfId="0" applyFont="1" applyFill="1" applyBorder="1" applyAlignment="1">
      <alignment horizontal="center"/>
    </xf>
    <xf numFmtId="0" fontId="114" fillId="21" borderId="69" xfId="0" applyFont="1" applyFill="1" applyBorder="1" applyAlignment="1">
      <alignment horizontal="center"/>
    </xf>
    <xf numFmtId="0" fontId="19" fillId="5" borderId="1" xfId="0" applyFont="1" applyFill="1" applyBorder="1" applyAlignment="1">
      <alignment horizontal="left" vertical="center" wrapText="1" indent="2"/>
    </xf>
    <xf numFmtId="0" fontId="83" fillId="0" borderId="1" xfId="0" applyFont="1" applyBorder="1" applyAlignment="1">
      <alignment vertical="center" wrapText="1"/>
    </xf>
    <xf numFmtId="0" fontId="0" fillId="0" borderId="35" xfId="0" applyFont="1" applyBorder="1" applyAlignment="1">
      <alignment vertical="center" wrapText="1"/>
    </xf>
    <xf numFmtId="0" fontId="0" fillId="0" borderId="1" xfId="0" applyFont="1" applyBorder="1" applyAlignment="1">
      <alignment vertical="center" wrapText="1"/>
    </xf>
    <xf numFmtId="0" fontId="43" fillId="21" borderId="28" xfId="0" applyFont="1" applyFill="1" applyBorder="1"/>
    <xf numFmtId="0" fontId="43" fillId="0" borderId="0" xfId="0" applyFont="1"/>
    <xf numFmtId="0" fontId="43" fillId="21" borderId="0" xfId="0" applyFont="1" applyFill="1"/>
    <xf numFmtId="0" fontId="117" fillId="21" borderId="74" xfId="0" applyFont="1" applyFill="1" applyBorder="1" applyAlignment="1">
      <alignment horizontal="center" vertical="center" wrapText="1"/>
    </xf>
    <xf numFmtId="0" fontId="117" fillId="21" borderId="70" xfId="0" applyFont="1" applyFill="1" applyBorder="1" applyAlignment="1">
      <alignment horizontal="center" vertical="center" wrapText="1"/>
    </xf>
    <xf numFmtId="0" fontId="116" fillId="21" borderId="0" xfId="0" applyFont="1" applyFill="1"/>
    <xf numFmtId="0" fontId="126" fillId="21" borderId="59" xfId="0" applyFont="1" applyFill="1" applyBorder="1" applyAlignment="1">
      <alignment horizontal="center" vertical="center" wrapText="1"/>
    </xf>
    <xf numFmtId="0" fontId="126" fillId="21" borderId="60" xfId="0" applyFont="1" applyFill="1" applyBorder="1" applyAlignment="1">
      <alignment vertical="center" wrapText="1"/>
    </xf>
    <xf numFmtId="0" fontId="126" fillId="21" borderId="61" xfId="0" applyFont="1" applyFill="1" applyBorder="1" applyAlignment="1">
      <alignment vertical="center" wrapTex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114" fillId="21" borderId="67" xfId="0" applyFont="1" applyFill="1" applyBorder="1" applyAlignment="1">
      <alignment horizontal="center"/>
    </xf>
    <xf numFmtId="0" fontId="114" fillId="21" borderId="99" xfId="0" applyFont="1" applyFill="1" applyBorder="1" applyAlignment="1">
      <alignment horizontal="center"/>
    </xf>
    <xf numFmtId="0" fontId="114" fillId="21" borderId="68" xfId="0" applyFont="1" applyFill="1" applyBorder="1" applyAlignment="1">
      <alignment horizontal="center"/>
    </xf>
    <xf numFmtId="0" fontId="114" fillId="21" borderId="66" xfId="0" applyFont="1" applyFill="1" applyBorder="1" applyAlignment="1">
      <alignment horizontal="center"/>
    </xf>
    <xf numFmtId="0" fontId="114" fillId="21" borderId="75" xfId="0" applyFont="1" applyFill="1" applyBorder="1" applyAlignment="1">
      <alignment horizontal="center"/>
    </xf>
    <xf numFmtId="0" fontId="114" fillId="21" borderId="65" xfId="0" applyFont="1" applyFill="1" applyBorder="1" applyAlignment="1">
      <alignment horizontal="center"/>
    </xf>
    <xf numFmtId="0" fontId="114" fillId="21" borderId="4" xfId="0" applyFont="1" applyFill="1" applyBorder="1" applyAlignment="1">
      <alignment horizontal="center"/>
    </xf>
    <xf numFmtId="0" fontId="114" fillId="21" borderId="34" xfId="0" applyFont="1" applyFill="1" applyBorder="1" applyAlignment="1">
      <alignment horizontal="center"/>
    </xf>
    <xf numFmtId="0" fontId="114" fillId="21" borderId="84" xfId="0" applyFont="1" applyFill="1" applyBorder="1" applyAlignment="1">
      <alignment horizontal="center" vertical="center"/>
    </xf>
    <xf numFmtId="0" fontId="114" fillId="21" borderId="72" xfId="0" applyFont="1" applyFill="1" applyBorder="1" applyAlignment="1">
      <alignment horizontal="center"/>
    </xf>
    <xf numFmtId="0" fontId="114" fillId="21" borderId="73" xfId="0" applyFont="1" applyFill="1" applyBorder="1" applyAlignment="1">
      <alignment horizontal="center"/>
    </xf>
    <xf numFmtId="0" fontId="114" fillId="21" borderId="0" xfId="0" applyFont="1" applyFill="1" applyBorder="1" applyAlignment="1">
      <alignment horizontal="center"/>
    </xf>
    <xf numFmtId="0" fontId="114" fillId="21" borderId="34" xfId="0" applyFont="1" applyFill="1" applyBorder="1" applyAlignment="1">
      <alignment horizontal="center" vertical="center"/>
    </xf>
    <xf numFmtId="0" fontId="114" fillId="21" borderId="3" xfId="0" applyFont="1" applyFill="1" applyBorder="1" applyAlignment="1">
      <alignment horizontal="center" vertical="center"/>
    </xf>
    <xf numFmtId="0" fontId="114" fillId="21" borderId="72" xfId="0" applyFont="1" applyFill="1" applyBorder="1" applyAlignment="1">
      <alignment horizontal="center" vertical="center" wrapText="1"/>
    </xf>
    <xf numFmtId="0" fontId="114" fillId="21" borderId="74" xfId="0" applyFont="1" applyFill="1" applyBorder="1" applyAlignment="1">
      <alignment horizontal="center" vertical="center" wrapText="1"/>
    </xf>
    <xf numFmtId="0" fontId="114" fillId="21" borderId="72" xfId="0" applyFont="1" applyFill="1" applyBorder="1" applyAlignment="1">
      <alignment horizontal="center" vertical="center"/>
    </xf>
    <xf numFmtId="0" fontId="114" fillId="21" borderId="74" xfId="0" applyFont="1" applyFill="1" applyBorder="1" applyAlignment="1">
      <alignment horizontal="center" vertical="center"/>
    </xf>
    <xf numFmtId="0" fontId="5" fillId="0" borderId="1" xfId="0" applyFont="1" applyBorder="1" applyAlignment="1">
      <alignment horizontal="left"/>
    </xf>
    <xf numFmtId="0" fontId="114" fillId="21" borderId="59" xfId="0" applyFont="1" applyFill="1" applyBorder="1" applyAlignment="1">
      <alignment horizontal="center" wrapText="1"/>
    </xf>
    <xf numFmtId="0" fontId="6" fillId="0" borderId="1" xfId="0" applyFont="1" applyBorder="1" applyAlignment="1">
      <alignment horizontal="left"/>
    </xf>
    <xf numFmtId="0" fontId="5" fillId="0" borderId="1" xfId="0" applyFont="1" applyBorder="1" applyAlignment="1">
      <alignment horizontal="left" indent="1"/>
    </xf>
    <xf numFmtId="0" fontId="114" fillId="21" borderId="11" xfId="0" applyFont="1" applyFill="1" applyBorder="1" applyAlignment="1">
      <alignment horizontal="center"/>
    </xf>
    <xf numFmtId="0" fontId="5" fillId="0" borderId="7" xfId="0" applyFont="1" applyBorder="1" applyAlignment="1">
      <alignment horizontal="left" vertical="center" wrapText="1" indent="2"/>
    </xf>
    <xf numFmtId="0" fontId="5" fillId="0" borderId="5" xfId="0" applyFont="1" applyBorder="1" applyAlignment="1">
      <alignment horizontal="left" vertical="center" wrapText="1" indent="2"/>
    </xf>
    <xf numFmtId="0" fontId="5" fillId="0" borderId="0" xfId="0" applyFont="1" applyAlignment="1">
      <alignment horizontal="left"/>
    </xf>
    <xf numFmtId="0" fontId="5" fillId="0" borderId="7" xfId="0" applyFont="1" applyBorder="1" applyAlignment="1">
      <alignment horizontal="left" vertical="center" wrapText="1"/>
    </xf>
    <xf numFmtId="0" fontId="5" fillId="0" borderId="5" xfId="0" applyFont="1" applyBorder="1" applyAlignment="1">
      <alignment horizontal="left" vertical="center" wrapText="1"/>
    </xf>
    <xf numFmtId="0" fontId="5" fillId="4" borderId="7"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21" borderId="7" xfId="0" applyFont="1" applyFill="1" applyBorder="1" applyAlignment="1">
      <alignment horizontal="left"/>
    </xf>
    <xf numFmtId="0" fontId="5" fillId="21" borderId="6" xfId="0" applyFont="1" applyFill="1" applyBorder="1" applyAlignment="1">
      <alignment horizontal="left"/>
    </xf>
    <xf numFmtId="0" fontId="5" fillId="4" borderId="3" xfId="0" applyFont="1" applyFill="1" applyBorder="1" applyAlignment="1">
      <alignment horizontal="left" vertical="center" wrapText="1"/>
    </xf>
    <xf numFmtId="0" fontId="5" fillId="4" borderId="2" xfId="0" applyFont="1" applyFill="1" applyBorder="1" applyAlignment="1">
      <alignment horizontal="left" vertical="center" wrapText="1"/>
    </xf>
    <xf numFmtId="0" fontId="113" fillId="21" borderId="72" xfId="3" applyFont="1" applyFill="1" applyBorder="1" applyAlignment="1">
      <alignment horizontal="center" vertical="center" wrapText="1"/>
    </xf>
    <xf numFmtId="0" fontId="113" fillId="21" borderId="73" xfId="3" applyFont="1" applyFill="1" applyBorder="1" applyAlignment="1">
      <alignment horizontal="center" vertical="center" wrapText="1"/>
    </xf>
    <xf numFmtId="0" fontId="113" fillId="21" borderId="90" xfId="3" applyFont="1" applyFill="1" applyBorder="1" applyAlignment="1">
      <alignment horizontal="center" vertical="center" wrapText="1"/>
    </xf>
    <xf numFmtId="0" fontId="113" fillId="21" borderId="63" xfId="3" applyFont="1" applyFill="1" applyBorder="1" applyAlignment="1">
      <alignment horizontal="center" vertical="center" wrapText="1"/>
    </xf>
    <xf numFmtId="0" fontId="113" fillId="21" borderId="66" xfId="3" applyFont="1" applyFill="1" applyBorder="1" applyAlignment="1">
      <alignment horizontal="center" vertical="center" wrapText="1"/>
    </xf>
    <xf numFmtId="0" fontId="113" fillId="21" borderId="0" xfId="3" applyFont="1" applyFill="1" applyBorder="1" applyAlignment="1">
      <alignment horizontal="center" vertical="center" wrapText="1"/>
    </xf>
    <xf numFmtId="0" fontId="22" fillId="0" borderId="7"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5" xfId="0" applyFont="1" applyBorder="1" applyAlignment="1">
      <alignment horizontal="center" vertical="center" wrapText="1"/>
    </xf>
    <xf numFmtId="0" fontId="23" fillId="7" borderId="7" xfId="0" applyFont="1" applyFill="1" applyBorder="1" applyAlignment="1">
      <alignment horizontal="center" vertical="center" wrapText="1"/>
    </xf>
    <xf numFmtId="0" fontId="23" fillId="7" borderId="5" xfId="0" applyFont="1" applyFill="1" applyBorder="1" applyAlignment="1">
      <alignment horizontal="center" vertical="center" wrapText="1"/>
    </xf>
    <xf numFmtId="0" fontId="24"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46" fillId="0" borderId="24" xfId="0" applyFont="1" applyBorder="1" applyAlignment="1">
      <alignment horizontal="center" vertical="center" wrapText="1"/>
    </xf>
    <xf numFmtId="0" fontId="46" fillId="0" borderId="26" xfId="0" applyFont="1" applyBorder="1" applyAlignment="1">
      <alignment horizontal="center" vertical="center" wrapText="1"/>
    </xf>
    <xf numFmtId="0" fontId="57" fillId="0" borderId="0" xfId="0" applyFont="1" applyAlignment="1">
      <alignment horizontal="justify" vertical="center" wrapText="1"/>
    </xf>
    <xf numFmtId="164" fontId="48" fillId="17" borderId="17" xfId="1" applyNumberFormat="1" applyFont="1" applyFill="1" applyBorder="1" applyAlignment="1">
      <alignment horizontal="center" vertical="center" wrapText="1"/>
    </xf>
    <xf numFmtId="164" fontId="48" fillId="17" borderId="19" xfId="1" applyNumberFormat="1" applyFont="1" applyFill="1" applyBorder="1" applyAlignment="1">
      <alignment horizontal="center" vertical="center" wrapText="1"/>
    </xf>
    <xf numFmtId="164" fontId="5" fillId="0" borderId="17" xfId="1" applyNumberFormat="1" applyFont="1" applyBorder="1" applyAlignment="1">
      <alignment horizontal="center" vertical="center"/>
    </xf>
    <xf numFmtId="164" fontId="5" fillId="0" borderId="19" xfId="1" applyNumberFormat="1" applyFont="1" applyBorder="1" applyAlignment="1">
      <alignment horizontal="center" vertical="center"/>
    </xf>
    <xf numFmtId="164" fontId="50" fillId="7" borderId="17" xfId="1" applyNumberFormat="1" applyFont="1" applyFill="1" applyBorder="1" applyAlignment="1">
      <alignment horizontal="center" vertical="center"/>
    </xf>
    <xf numFmtId="164" fontId="50" fillId="7" borderId="19" xfId="1" applyNumberFormat="1" applyFont="1" applyFill="1" applyBorder="1" applyAlignment="1">
      <alignment horizontal="center" vertical="center"/>
    </xf>
    <xf numFmtId="0" fontId="43" fillId="0" borderId="28" xfId="0" applyFont="1" applyBorder="1"/>
    <xf numFmtId="0" fontId="46" fillId="0" borderId="17" xfId="0" applyFont="1" applyBorder="1" applyAlignment="1">
      <alignment horizontal="center" vertical="center" wrapText="1"/>
    </xf>
    <xf numFmtId="0" fontId="46" fillId="0" borderId="19" xfId="0" applyFont="1" applyBorder="1" applyAlignment="1">
      <alignment horizontal="center" vertical="center" wrapText="1"/>
    </xf>
    <xf numFmtId="0" fontId="46" fillId="0" borderId="20" xfId="0" applyFont="1" applyBorder="1" applyAlignment="1">
      <alignment horizontal="center" vertical="center" wrapText="1"/>
    </xf>
    <xf numFmtId="0" fontId="46" fillId="0" borderId="30" xfId="0" applyFont="1" applyBorder="1" applyAlignment="1">
      <alignment horizontal="center" vertical="center" wrapText="1"/>
    </xf>
    <xf numFmtId="0" fontId="46" fillId="0" borderId="31" xfId="0" applyFont="1" applyBorder="1" applyAlignment="1">
      <alignment horizontal="center" vertical="center" wrapText="1"/>
    </xf>
    <xf numFmtId="0" fontId="46" fillId="0" borderId="21" xfId="0" applyFont="1" applyBorder="1" applyAlignment="1">
      <alignment horizontal="center" vertical="center" wrapText="1"/>
    </xf>
    <xf numFmtId="0" fontId="46" fillId="0" borderId="12" xfId="0" applyFont="1" applyBorder="1" applyAlignment="1">
      <alignment horizontal="center" vertical="center" wrapText="1"/>
    </xf>
    <xf numFmtId="0" fontId="46" fillId="0" borderId="32" xfId="0" applyFont="1" applyBorder="1" applyAlignment="1">
      <alignment horizontal="center" vertical="center" wrapText="1"/>
    </xf>
    <xf numFmtId="0" fontId="46" fillId="0" borderId="23" xfId="0" applyFont="1" applyBorder="1" applyAlignment="1">
      <alignment horizontal="center" vertical="center" wrapText="1"/>
    </xf>
    <xf numFmtId="0" fontId="46" fillId="0" borderId="33" xfId="0" applyFont="1" applyBorder="1" applyAlignment="1">
      <alignment horizontal="center" vertical="center" wrapText="1"/>
    </xf>
    <xf numFmtId="0" fontId="46" fillId="0" borderId="27" xfId="0" applyFont="1" applyBorder="1" applyAlignment="1">
      <alignment horizontal="center" vertical="center" wrapText="1"/>
    </xf>
    <xf numFmtId="0" fontId="46" fillId="0" borderId="24" xfId="0" applyFont="1" applyBorder="1" applyAlignment="1">
      <alignment horizontal="center" vertical="top" wrapText="1"/>
    </xf>
    <xf numFmtId="0" fontId="46" fillId="0" borderId="32" xfId="0" applyFont="1" applyBorder="1" applyAlignment="1">
      <alignment horizontal="center" vertical="top" wrapText="1"/>
    </xf>
    <xf numFmtId="0" fontId="46" fillId="0" borderId="26" xfId="0" applyFont="1" applyBorder="1" applyAlignment="1">
      <alignment horizontal="center" vertical="top" wrapText="1"/>
    </xf>
    <xf numFmtId="0" fontId="43" fillId="0" borderId="32" xfId="0" applyFont="1" applyBorder="1" applyAlignment="1">
      <alignment vertical="center" wrapText="1"/>
    </xf>
    <xf numFmtId="0" fontId="43" fillId="0" borderId="26" xfId="0" applyFont="1" applyBorder="1" applyAlignment="1">
      <alignment vertical="center" wrapText="1"/>
    </xf>
    <xf numFmtId="0" fontId="46" fillId="0" borderId="32" xfId="0" applyFont="1" applyBorder="1" applyAlignment="1">
      <alignment vertical="center" wrapText="1"/>
    </xf>
    <xf numFmtId="0" fontId="46" fillId="0" borderId="26" xfId="0" applyFont="1" applyBorder="1" applyAlignment="1">
      <alignment vertical="center" wrapText="1"/>
    </xf>
    <xf numFmtId="164" fontId="112" fillId="7" borderId="17" xfId="1" applyNumberFormat="1" applyFont="1" applyFill="1" applyBorder="1" applyAlignment="1">
      <alignment horizontal="center" vertical="center" wrapText="1"/>
    </xf>
    <xf numFmtId="164" fontId="112" fillId="7" borderId="19" xfId="1" applyNumberFormat="1" applyFont="1" applyFill="1" applyBorder="1" applyAlignment="1">
      <alignment horizontal="center" vertical="center" wrapText="1"/>
    </xf>
    <xf numFmtId="0" fontId="46" fillId="0" borderId="20" xfId="0" applyFont="1" applyBorder="1" applyAlignment="1">
      <alignment wrapText="1"/>
    </xf>
    <xf numFmtId="0" fontId="46" fillId="0" borderId="30" xfId="0" applyFont="1" applyBorder="1" applyAlignment="1">
      <alignment wrapText="1"/>
    </xf>
    <xf numFmtId="0" fontId="46" fillId="0" borderId="31" xfId="0" applyFont="1" applyBorder="1" applyAlignment="1">
      <alignment wrapText="1"/>
    </xf>
    <xf numFmtId="164" fontId="16" fillId="0" borderId="17" xfId="1" applyNumberFormat="1" applyFont="1" applyBorder="1" applyAlignment="1">
      <alignment vertical="center" wrapText="1"/>
    </xf>
    <xf numFmtId="164" fontId="16" fillId="0" borderId="19" xfId="1" applyNumberFormat="1" applyFont="1" applyBorder="1" applyAlignment="1">
      <alignment vertical="center" wrapText="1"/>
    </xf>
    <xf numFmtId="164" fontId="16" fillId="0" borderId="22" xfId="1" applyNumberFormat="1" applyFont="1" applyBorder="1" applyAlignment="1">
      <alignment vertical="center" wrapText="1"/>
    </xf>
    <xf numFmtId="164" fontId="16" fillId="18" borderId="17" xfId="1" applyNumberFormat="1" applyFont="1" applyFill="1" applyBorder="1" applyAlignment="1">
      <alignment vertical="center" wrapText="1"/>
    </xf>
    <xf numFmtId="164" fontId="16" fillId="18" borderId="19" xfId="1" applyNumberFormat="1" applyFont="1" applyFill="1" applyBorder="1" applyAlignment="1">
      <alignment vertical="center" wrapText="1"/>
    </xf>
    <xf numFmtId="164" fontId="16" fillId="18" borderId="22" xfId="1" applyNumberFormat="1" applyFont="1" applyFill="1" applyBorder="1" applyAlignment="1">
      <alignment vertical="center" wrapText="1"/>
    </xf>
    <xf numFmtId="0" fontId="16" fillId="0" borderId="17"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20" xfId="0" applyFont="1" applyBorder="1" applyAlignment="1">
      <alignment horizontal="center" vertical="center"/>
    </xf>
    <xf numFmtId="0" fontId="16" fillId="0" borderId="30" xfId="0" applyFont="1" applyBorder="1" applyAlignment="1">
      <alignment horizontal="center" vertical="center"/>
    </xf>
    <xf numFmtId="0" fontId="16" fillId="0" borderId="21" xfId="0" applyFont="1" applyBorder="1" applyAlignment="1">
      <alignment horizontal="center" vertical="center"/>
    </xf>
    <xf numFmtId="0" fontId="16" fillId="0" borderId="33" xfId="0" applyFont="1" applyBorder="1" applyAlignment="1">
      <alignment horizontal="center" vertical="center"/>
    </xf>
    <xf numFmtId="0" fontId="16" fillId="0" borderId="28" xfId="0" applyFont="1" applyBorder="1" applyAlignment="1">
      <alignment horizontal="center" vertical="center"/>
    </xf>
    <xf numFmtId="0" fontId="16" fillId="0" borderId="27" xfId="0" applyFont="1" applyBorder="1" applyAlignment="1">
      <alignment horizontal="center" vertical="center"/>
    </xf>
    <xf numFmtId="0" fontId="16" fillId="0" borderId="20" xfId="0" applyFont="1" applyBorder="1" applyAlignment="1">
      <alignment horizontal="left" vertical="center"/>
    </xf>
    <xf numFmtId="0" fontId="16" fillId="0" borderId="30" xfId="0" applyFont="1" applyBorder="1" applyAlignment="1">
      <alignment horizontal="left" vertical="center"/>
    </xf>
    <xf numFmtId="0" fontId="16" fillId="7" borderId="22" xfId="0" applyFont="1" applyFill="1" applyBorder="1" applyAlignment="1">
      <alignment vertical="center"/>
    </xf>
    <xf numFmtId="0" fontId="16" fillId="7" borderId="19" xfId="0" applyFont="1" applyFill="1" applyBorder="1" applyAlignment="1">
      <alignment vertical="center"/>
    </xf>
    <xf numFmtId="0" fontId="16" fillId="7" borderId="33" xfId="0" applyFont="1" applyFill="1" applyBorder="1"/>
    <xf numFmtId="0" fontId="16" fillId="7" borderId="28" xfId="0" applyFont="1" applyFill="1" applyBorder="1"/>
    <xf numFmtId="0" fontId="16" fillId="7" borderId="27" xfId="0" applyFont="1" applyFill="1" applyBorder="1"/>
    <xf numFmtId="0" fontId="16" fillId="0" borderId="25"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17" xfId="0" applyFont="1" applyBorder="1" applyAlignment="1">
      <alignment horizontal="center" vertical="center"/>
    </xf>
    <xf numFmtId="0" fontId="16" fillId="0" borderId="19" xfId="0" applyFont="1" applyBorder="1" applyAlignment="1">
      <alignment horizontal="center" vertical="center"/>
    </xf>
    <xf numFmtId="0" fontId="16" fillId="0" borderId="22" xfId="0" applyFont="1" applyBorder="1" applyAlignment="1">
      <alignment horizontal="center" vertical="center"/>
    </xf>
    <xf numFmtId="0" fontId="3" fillId="7" borderId="7"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0" fillId="0" borderId="10" xfId="0" applyBorder="1" applyAlignment="1">
      <alignment horizontal="center" vertical="center"/>
    </xf>
    <xf numFmtId="0" fontId="0" fillId="0" borderId="9" xfId="0" applyBorder="1" applyAlignment="1">
      <alignment horizontal="center" vertical="center"/>
    </xf>
    <xf numFmtId="0" fontId="5" fillId="7" borderId="7"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0" fillId="7" borderId="10" xfId="0" applyFill="1" applyBorder="1" applyAlignment="1">
      <alignment horizontal="center" vertical="center"/>
    </xf>
    <xf numFmtId="0" fontId="0" fillId="7" borderId="9" xfId="0" applyFill="1" applyBorder="1" applyAlignment="1">
      <alignment horizontal="center" vertical="center"/>
    </xf>
    <xf numFmtId="0" fontId="79" fillId="0" borderId="0" xfId="0" applyFont="1" applyAlignment="1">
      <alignment vertical="center" wrapText="1"/>
    </xf>
    <xf numFmtId="0" fontId="82" fillId="7" borderId="7" xfId="0" applyFont="1" applyFill="1" applyBorder="1" applyAlignment="1">
      <alignment horizontal="center" vertical="center" wrapText="1"/>
    </xf>
    <xf numFmtId="0" fontId="82" fillId="7" borderId="5" xfId="0" applyFont="1" applyFill="1" applyBorder="1" applyAlignment="1">
      <alignment horizontal="center" vertical="center" wrapText="1"/>
    </xf>
    <xf numFmtId="0" fontId="46" fillId="7" borderId="7" xfId="0" applyFont="1" applyFill="1" applyBorder="1" applyAlignment="1">
      <alignment horizontal="center" vertical="center" wrapText="1"/>
    </xf>
    <xf numFmtId="0" fontId="46" fillId="7" borderId="6" xfId="0" applyFont="1" applyFill="1" applyBorder="1" applyAlignment="1">
      <alignment horizontal="center" vertical="center" wrapText="1"/>
    </xf>
    <xf numFmtId="0" fontId="46" fillId="7" borderId="5" xfId="0" applyFont="1" applyFill="1" applyBorder="1" applyAlignment="1">
      <alignment horizontal="center" vertical="center" wrapText="1"/>
    </xf>
    <xf numFmtId="0" fontId="46" fillId="7" borderId="10" xfId="0" applyFont="1" applyFill="1" applyBorder="1" applyAlignment="1">
      <alignment horizontal="center" vertical="center" wrapText="1"/>
    </xf>
    <xf numFmtId="0" fontId="46" fillId="7" borderId="11" xfId="0" applyFont="1" applyFill="1" applyBorder="1" applyAlignment="1">
      <alignment horizontal="center" vertical="center" wrapText="1"/>
    </xf>
    <xf numFmtId="0" fontId="46" fillId="7" borderId="9" xfId="0" applyFont="1" applyFill="1" applyBorder="1" applyAlignment="1">
      <alignment horizontal="center" vertical="center" wrapText="1"/>
    </xf>
    <xf numFmtId="0" fontId="55" fillId="7" borderId="10" xfId="0" applyFont="1" applyFill="1" applyBorder="1" applyAlignment="1">
      <alignment horizontal="center" vertical="center" wrapText="1"/>
    </xf>
    <xf numFmtId="0" fontId="55" fillId="7" borderId="11" xfId="0" applyFont="1" applyFill="1" applyBorder="1" applyAlignment="1">
      <alignment horizontal="center" vertical="center" wrapText="1"/>
    </xf>
    <xf numFmtId="0" fontId="55" fillId="7" borderId="9" xfId="0" applyFont="1" applyFill="1" applyBorder="1" applyAlignment="1">
      <alignment horizontal="center" vertical="center" wrapText="1"/>
    </xf>
    <xf numFmtId="0" fontId="46" fillId="7" borderId="8" xfId="0" applyFont="1" applyFill="1" applyBorder="1" applyAlignment="1">
      <alignment horizontal="center" vertical="center" wrapText="1"/>
    </xf>
    <xf numFmtId="0" fontId="0" fillId="7" borderId="8" xfId="0" applyFill="1" applyBorder="1" applyAlignment="1">
      <alignment horizontal="center" vertical="center"/>
    </xf>
    <xf numFmtId="0" fontId="0" fillId="7" borderId="13" xfId="0" applyFill="1" applyBorder="1" applyAlignment="1">
      <alignment horizontal="center" vertical="center"/>
    </xf>
    <xf numFmtId="0" fontId="0" fillId="7" borderId="34" xfId="0" applyFill="1" applyBorder="1" applyAlignment="1">
      <alignment horizontal="center" vertical="center"/>
    </xf>
    <xf numFmtId="0" fontId="0" fillId="7" borderId="4" xfId="0" applyFill="1" applyBorder="1" applyAlignment="1">
      <alignment horizontal="center" vertical="center"/>
    </xf>
    <xf numFmtId="0" fontId="0" fillId="7" borderId="15" xfId="0" applyFill="1" applyBorder="1" applyAlignment="1">
      <alignment horizontal="center" vertical="center"/>
    </xf>
    <xf numFmtId="0" fontId="0" fillId="7" borderId="2" xfId="0" applyFill="1" applyBorder="1" applyAlignment="1">
      <alignment horizontal="center" vertical="center"/>
    </xf>
    <xf numFmtId="0" fontId="82" fillId="7" borderId="6" xfId="0" applyFont="1" applyFill="1" applyBorder="1" applyAlignment="1">
      <alignment horizontal="center" vertical="center" wrapText="1"/>
    </xf>
    <xf numFmtId="0" fontId="46" fillId="0" borderId="8" xfId="0" applyFont="1" applyBorder="1" applyAlignment="1">
      <alignment horizontal="center" vertical="center" wrapText="1"/>
    </xf>
    <xf numFmtId="0" fontId="46" fillId="0" borderId="13" xfId="0" applyFont="1" applyBorder="1" applyAlignment="1">
      <alignment horizontal="center" vertical="center" wrapText="1"/>
    </xf>
    <xf numFmtId="0" fontId="46" fillId="0" borderId="34" xfId="0" applyFont="1" applyBorder="1" applyAlignment="1">
      <alignment horizontal="center" vertical="center" wrapText="1"/>
    </xf>
    <xf numFmtId="0" fontId="46" fillId="0" borderId="4" xfId="0" applyFont="1" applyBorder="1" applyAlignment="1">
      <alignment horizontal="center" vertical="center" wrapText="1"/>
    </xf>
    <xf numFmtId="0" fontId="46" fillId="0" borderId="15" xfId="0" applyFont="1" applyBorder="1" applyAlignment="1">
      <alignment horizontal="center" vertical="center" wrapText="1"/>
    </xf>
    <xf numFmtId="0" fontId="46" fillId="0" borderId="2" xfId="0" applyFont="1" applyBorder="1" applyAlignment="1">
      <alignment horizontal="center" vertical="center" wrapText="1"/>
    </xf>
    <xf numFmtId="0" fontId="0" fillId="0" borderId="10" xfId="0" applyBorder="1" applyAlignment="1">
      <alignment horizontal="center"/>
    </xf>
    <xf numFmtId="0" fontId="0" fillId="0" borderId="11" xfId="0" applyBorder="1" applyAlignment="1">
      <alignment horizontal="center"/>
    </xf>
    <xf numFmtId="0" fontId="0" fillId="0" borderId="9" xfId="0" applyBorder="1" applyAlignment="1">
      <alignment horizontal="center"/>
    </xf>
    <xf numFmtId="0" fontId="45" fillId="0" borderId="10" xfId="0" applyFont="1" applyBorder="1" applyAlignment="1">
      <alignment horizontal="center" vertical="center" wrapText="1"/>
    </xf>
    <xf numFmtId="0" fontId="45" fillId="0" borderId="9" xfId="0" applyFont="1" applyBorder="1" applyAlignment="1">
      <alignment horizontal="center" vertical="center" wrapText="1"/>
    </xf>
    <xf numFmtId="0" fontId="58" fillId="0" borderId="10" xfId="0" applyFont="1" applyBorder="1" applyAlignment="1">
      <alignment horizontal="center" vertical="center" wrapText="1"/>
    </xf>
    <xf numFmtId="0" fontId="58" fillId="0" borderId="9" xfId="0" applyFont="1" applyBorder="1" applyAlignment="1">
      <alignment horizontal="center" vertical="center" wrapText="1"/>
    </xf>
    <xf numFmtId="0" fontId="58" fillId="0" borderId="8" xfId="0" applyFont="1" applyBorder="1" applyAlignment="1">
      <alignment horizontal="center" vertical="center" wrapText="1"/>
    </xf>
    <xf numFmtId="0" fontId="58" fillId="0" borderId="5"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0" fillId="0" borderId="1" xfId="0" applyBorder="1" applyAlignment="1">
      <alignment horizontal="center"/>
    </xf>
    <xf numFmtId="0" fontId="3" fillId="0" borderId="10" xfId="0" applyFont="1" applyBorder="1" applyAlignment="1">
      <alignment horizontal="center" wrapText="1"/>
    </xf>
    <xf numFmtId="0" fontId="3" fillId="0" borderId="9" xfId="0" applyFont="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wrapText="1"/>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6"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3" fillId="7" borderId="4" xfId="0" applyFont="1" applyFill="1" applyBorder="1" applyAlignment="1">
      <alignment vertical="center" wrapText="1"/>
    </xf>
    <xf numFmtId="0" fontId="13" fillId="7" borderId="11" xfId="0" applyFont="1" applyFill="1" applyBorder="1" applyAlignment="1">
      <alignment vertical="center" wrapText="1"/>
    </xf>
    <xf numFmtId="0" fontId="13" fillId="7" borderId="2" xfId="0" applyFont="1" applyFill="1" applyBorder="1" applyAlignment="1">
      <alignment vertical="center" wrapText="1"/>
    </xf>
    <xf numFmtId="0" fontId="13" fillId="7" borderId="9" xfId="0" applyFont="1" applyFill="1" applyBorder="1" applyAlignment="1">
      <alignment vertical="center" wrapText="1"/>
    </xf>
    <xf numFmtId="0" fontId="13" fillId="0" borderId="4" xfId="0" applyFont="1" applyBorder="1" applyAlignment="1">
      <alignment vertical="center" wrapText="1"/>
    </xf>
    <xf numFmtId="0" fontId="13" fillId="0" borderId="11" xfId="0" applyFont="1" applyBorder="1" applyAlignment="1">
      <alignment vertical="center" wrapText="1"/>
    </xf>
    <xf numFmtId="0" fontId="13" fillId="0" borderId="2" xfId="0" applyFont="1" applyBorder="1" applyAlignment="1">
      <alignment vertical="center" wrapText="1"/>
    </xf>
    <xf numFmtId="0" fontId="13" fillId="0" borderId="9" xfId="0" applyFont="1" applyBorder="1" applyAlignment="1">
      <alignment vertical="center" wrapText="1"/>
    </xf>
    <xf numFmtId="0" fontId="20" fillId="6" borderId="1" xfId="0" applyFont="1" applyFill="1" applyBorder="1" applyAlignment="1">
      <alignment vertical="center" wrapText="1"/>
    </xf>
    <xf numFmtId="0" fontId="0" fillId="0" borderId="0" xfId="0" applyAlignment="1">
      <alignment horizontal="justify" vertical="top" wrapText="1"/>
    </xf>
    <xf numFmtId="0" fontId="44" fillId="0" borderId="0" xfId="0" applyFont="1" applyAlignment="1">
      <alignment vertical="top" wrapText="1"/>
    </xf>
  </cellXfs>
  <cellStyles count="19">
    <cellStyle name="=C:\WINNT35\SYSTEM32\COMMAND.COM" xfId="3" xr:uid="{5E33F4D7-6D19-4594-8B69-7C360E3495AF}"/>
    <cellStyle name="Comma 2" xfId="17" xr:uid="{D29B3419-987E-4FA7-AC61-00D3C736E6F0}"/>
    <cellStyle name="Heading 1 2" xfId="11" xr:uid="{FC3430E2-C0E1-46B3-9774-7E813C2757FC}"/>
    <cellStyle name="Heading 2 2" xfId="10" xr:uid="{1BDEADF1-E75E-47DB-A297-57FA24CB9F78}"/>
    <cellStyle name="HeadingTable" xfId="12" xr:uid="{1FF2DF08-125E-472E-B41C-3E172DD2E55D}"/>
    <cellStyle name="Komma" xfId="1" builtinId="3"/>
    <cellStyle name="Komma 2" xfId="16" xr:uid="{B7D1CD76-12D7-4344-8A31-D6509951A25D}"/>
    <cellStyle name="Komma 3" xfId="14" xr:uid="{1EBDCCE5-15A1-4553-B5AC-D5C871A6CC7D}"/>
    <cellStyle name="Link" xfId="13" builtinId="8"/>
    <cellStyle name="Normal" xfId="0" builtinId="0"/>
    <cellStyle name="Normal 2" xfId="5" xr:uid="{B37DE214-4A64-4204-82F3-1A053AF10AC2}"/>
    <cellStyle name="Normal 2 2" xfId="6" xr:uid="{CD1D5805-B7B3-4083-98BF-1AD91B40ECD6}"/>
    <cellStyle name="Normal 2 2 2" xfId="15" xr:uid="{1C362C5C-4149-4897-B0E0-4A391C709396}"/>
    <cellStyle name="Normal 4" xfId="8" xr:uid="{7C9B58A6-6E3B-4E35-AD12-933034EA8575}"/>
    <cellStyle name="Normal_20 OPR" xfId="7" xr:uid="{BA219162-5679-4261-9536-AB5FE8183003}"/>
    <cellStyle name="optionalExposure" xfId="4" xr:uid="{5DDCB00B-A22E-4B02-AC73-E6831E9407BE}"/>
    <cellStyle name="Percent 2" xfId="18" xr:uid="{0930C09F-484D-4679-AB18-3D0BBCFDDECC}"/>
    <cellStyle name="Procent" xfId="2" builtinId="5"/>
    <cellStyle name="Standard 3" xfId="9" xr:uid="{677BABF2-C4A7-432E-B9E8-7E7C8740063F}"/>
  </cellStyles>
  <dxfs count="24">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externalLink" Target="externalLinks/externalLink1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externalLink" Target="externalLinks/externalLink1.xml"/><Relationship Id="rId79" Type="http://schemas.openxmlformats.org/officeDocument/2006/relationships/externalLink" Target="externalLinks/externalLink6.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externalLink" Target="externalLinks/externalLink4.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externalLink" Target="externalLinks/externalLink7.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externalLink" Target="externalLinks/externalLink2.xml"/><Relationship Id="rId83" Type="http://schemas.openxmlformats.org/officeDocument/2006/relationships/externalLink" Target="externalLinks/externalLink10.xml"/><Relationship Id="rId88"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externalLink" Target="externalLinks/externalLink5.xml"/><Relationship Id="rId81" Type="http://schemas.openxmlformats.org/officeDocument/2006/relationships/externalLink" Target="externalLinks/externalLink8.xml"/><Relationship Id="rId86"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externalLink" Target="externalLinks/externalLink3.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externalLink" Target="externalLinks/externalLink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1866900</xdr:colOff>
      <xdr:row>15</xdr:row>
      <xdr:rowOff>152400</xdr:rowOff>
    </xdr:from>
    <xdr:to>
      <xdr:col>10</xdr:col>
      <xdr:colOff>1412082</xdr:colOff>
      <xdr:row>26</xdr:row>
      <xdr:rowOff>57150</xdr:rowOff>
    </xdr:to>
    <xdr:sp macro="" textlink="">
      <xdr:nvSpPr>
        <xdr:cNvPr id="2" name="AutoShape 1">
          <a:extLst>
            <a:ext uri="{FF2B5EF4-FFF2-40B4-BE49-F238E27FC236}">
              <a16:creationId xmlns:a16="http://schemas.microsoft.com/office/drawing/2014/main" id="{6210AF03-3362-4FB6-9A4D-7F7C718A60C3}"/>
            </a:ext>
          </a:extLst>
        </xdr:cNvPr>
        <xdr:cNvSpPr>
          <a:spLocks noChangeAspect="1" noChangeArrowheads="1"/>
        </xdr:cNvSpPr>
      </xdr:nvSpPr>
      <xdr:spPr bwMode="auto">
        <a:xfrm>
          <a:off x="3648075" y="3752850"/>
          <a:ext cx="8670132" cy="2000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95250</xdr:rowOff>
    </xdr:from>
    <xdr:to>
      <xdr:col>8</xdr:col>
      <xdr:colOff>428625</xdr:colOff>
      <xdr:row>19</xdr:row>
      <xdr:rowOff>30480</xdr:rowOff>
    </xdr:to>
    <xdr:pic>
      <xdr:nvPicPr>
        <xdr:cNvPr id="2" name="Picture 2">
          <a:extLst>
            <a:ext uri="{FF2B5EF4-FFF2-40B4-BE49-F238E27FC236}">
              <a16:creationId xmlns:a16="http://schemas.microsoft.com/office/drawing/2014/main" id="{9F4E95FE-FD4F-48F0-936F-645768391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95350"/>
          <a:ext cx="6981825" cy="27927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detail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fynskebank.dk/" TargetMode="External"/><Relationship Id="rId1" Type="http://schemas.openxmlformats.org/officeDocument/2006/relationships/hyperlink" Target="mailto:post@fynskebank.d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8D446-E472-445F-8749-E999FE6DC5EF}">
  <dimension ref="B2:G32"/>
  <sheetViews>
    <sheetView showGridLines="0" tabSelected="1" zoomScaleNormal="100" workbookViewId="0">
      <selection activeCell="B2" sqref="B2"/>
    </sheetView>
  </sheetViews>
  <sheetFormatPr defaultRowHeight="15" x14ac:dyDescent="0.25"/>
  <cols>
    <col min="2" max="2" width="11.7109375" customWidth="1"/>
    <col min="3" max="3" width="8.42578125" customWidth="1"/>
    <col min="4" max="4" width="24.7109375" customWidth="1"/>
    <col min="7" max="7" width="14.140625" customWidth="1"/>
  </cols>
  <sheetData>
    <row r="2" spans="2:7" ht="18.75" x14ac:dyDescent="0.3">
      <c r="B2" s="759" t="s">
        <v>1237</v>
      </c>
      <c r="C2" s="759"/>
      <c r="D2" s="86"/>
    </row>
    <row r="3" spans="2:7" ht="8.25" customHeight="1" x14ac:dyDescent="0.3">
      <c r="B3" s="759"/>
      <c r="C3" s="759"/>
      <c r="D3" s="86"/>
    </row>
    <row r="4" spans="2:7" ht="15.75" x14ac:dyDescent="0.25">
      <c r="B4" s="760" t="s">
        <v>1465</v>
      </c>
      <c r="C4" s="760"/>
    </row>
    <row r="5" spans="2:7" ht="15.75" x14ac:dyDescent="0.25">
      <c r="B5" s="761" t="s">
        <v>1466</v>
      </c>
      <c r="C5" s="761"/>
      <c r="D5" s="762" t="s">
        <v>1481</v>
      </c>
    </row>
    <row r="6" spans="2:7" ht="15.75" x14ac:dyDescent="0.25">
      <c r="B6" s="761" t="s">
        <v>1467</v>
      </c>
      <c r="C6" s="761"/>
      <c r="D6" s="762">
        <v>6850</v>
      </c>
    </row>
    <row r="7" spans="2:7" ht="15.75" x14ac:dyDescent="0.25">
      <c r="B7" s="761" t="s">
        <v>1468</v>
      </c>
      <c r="C7" s="761"/>
      <c r="D7" s="762" t="s">
        <v>1482</v>
      </c>
    </row>
    <row r="8" spans="2:7" ht="15.75" x14ac:dyDescent="0.25">
      <c r="B8" s="761" t="s">
        <v>1469</v>
      </c>
      <c r="C8" s="761"/>
      <c r="D8" s="762" t="s">
        <v>1489</v>
      </c>
    </row>
    <row r="9" spans="2:7" ht="15.75" x14ac:dyDescent="0.25">
      <c r="B9" s="761" t="s">
        <v>1470</v>
      </c>
      <c r="C9" s="761"/>
      <c r="D9" s="762" t="s">
        <v>1483</v>
      </c>
    </row>
    <row r="10" spans="2:7" ht="15.75" x14ac:dyDescent="0.25">
      <c r="B10" s="761" t="s">
        <v>1471</v>
      </c>
      <c r="C10" s="761"/>
      <c r="D10" s="767" t="s">
        <v>1484</v>
      </c>
    </row>
    <row r="11" spans="2:7" ht="15.75" x14ac:dyDescent="0.25">
      <c r="B11" s="761" t="s">
        <v>1472</v>
      </c>
      <c r="C11" s="761"/>
      <c r="D11" s="767" t="s">
        <v>1485</v>
      </c>
    </row>
    <row r="12" spans="2:7" ht="15.75" x14ac:dyDescent="0.25">
      <c r="B12" s="761"/>
      <c r="C12" s="761"/>
      <c r="D12" s="762"/>
    </row>
    <row r="13" spans="2:7" ht="15.75" x14ac:dyDescent="0.25">
      <c r="B13" s="761"/>
      <c r="C13" s="761"/>
      <c r="D13" s="762"/>
    </row>
    <row r="14" spans="2:7" ht="18.75" x14ac:dyDescent="0.3">
      <c r="B14" s="86" t="s">
        <v>1473</v>
      </c>
      <c r="C14" s="86"/>
      <c r="D14" s="762"/>
    </row>
    <row r="15" spans="2:7" ht="104.25" customHeight="1" x14ac:dyDescent="0.25">
      <c r="B15" s="924" t="s">
        <v>1474</v>
      </c>
      <c r="C15" s="924"/>
      <c r="D15" s="924"/>
      <c r="E15" s="924"/>
      <c r="F15" s="924"/>
      <c r="G15" s="924"/>
    </row>
    <row r="16" spans="2:7" ht="46.5" customHeight="1" x14ac:dyDescent="0.25">
      <c r="B16" s="925" t="s">
        <v>1475</v>
      </c>
      <c r="C16" s="925"/>
      <c r="D16" s="926"/>
      <c r="E16" s="926"/>
      <c r="F16" s="926"/>
      <c r="G16" s="926"/>
    </row>
    <row r="17" spans="2:7" ht="15.75" x14ac:dyDescent="0.25">
      <c r="C17" s="763" t="s">
        <v>1476</v>
      </c>
      <c r="D17" s="762"/>
    </row>
    <row r="18" spans="2:7" ht="15.75" x14ac:dyDescent="0.25">
      <c r="C18" s="763" t="s">
        <v>1477</v>
      </c>
      <c r="D18" s="762"/>
    </row>
    <row r="19" spans="2:7" ht="9.75" customHeight="1" x14ac:dyDescent="0.25">
      <c r="C19" s="763"/>
      <c r="D19" s="762"/>
    </row>
    <row r="20" spans="2:7" ht="15.75" x14ac:dyDescent="0.25">
      <c r="B20" s="761" t="s">
        <v>1478</v>
      </c>
      <c r="C20" s="761"/>
      <c r="D20" s="762"/>
    </row>
    <row r="21" spans="2:7" ht="49.5" customHeight="1" x14ac:dyDescent="0.25">
      <c r="B21" s="764" t="s">
        <v>1479</v>
      </c>
      <c r="C21" s="927" t="s">
        <v>1584</v>
      </c>
      <c r="D21" s="927"/>
      <c r="E21" s="927"/>
      <c r="F21" s="927"/>
      <c r="G21" s="927"/>
    </row>
    <row r="22" spans="2:7" ht="66.75" customHeight="1" x14ac:dyDescent="0.25">
      <c r="B22" s="764" t="s">
        <v>1480</v>
      </c>
      <c r="C22" s="928" t="s">
        <v>1486</v>
      </c>
      <c r="D22" s="926"/>
      <c r="E22" s="926"/>
      <c r="F22" s="926"/>
      <c r="G22" s="926"/>
    </row>
    <row r="24" spans="2:7" ht="18.75" x14ac:dyDescent="0.3">
      <c r="B24" s="86"/>
      <c r="C24" s="86"/>
    </row>
    <row r="25" spans="2:7" ht="149.25" customHeight="1" x14ac:dyDescent="0.25">
      <c r="B25" s="929"/>
      <c r="C25" s="929"/>
      <c r="D25" s="930"/>
      <c r="E25" s="930"/>
      <c r="F25" s="930"/>
      <c r="G25" s="930"/>
    </row>
    <row r="26" spans="2:7" x14ac:dyDescent="0.25">
      <c r="B26" s="765"/>
      <c r="C26" s="765"/>
    </row>
    <row r="27" spans="2:7" x14ac:dyDescent="0.25">
      <c r="B27" s="766"/>
      <c r="C27" s="766"/>
    </row>
    <row r="28" spans="2:7" ht="15.75" x14ac:dyDescent="0.25">
      <c r="B28" s="761"/>
      <c r="C28" s="761"/>
    </row>
    <row r="29" spans="2:7" ht="15.75" x14ac:dyDescent="0.25">
      <c r="B29" s="761"/>
      <c r="C29" s="761"/>
    </row>
    <row r="30" spans="2:7" ht="15.75" x14ac:dyDescent="0.25">
      <c r="B30" s="761"/>
      <c r="C30" s="761"/>
    </row>
    <row r="31" spans="2:7" ht="15.75" x14ac:dyDescent="0.25">
      <c r="B31" s="761"/>
      <c r="C31" s="761"/>
    </row>
    <row r="32" spans="2:7" ht="15.75" x14ac:dyDescent="0.25">
      <c r="B32" s="761"/>
      <c r="C32" s="761"/>
    </row>
  </sheetData>
  <mergeCells count="5">
    <mergeCell ref="B15:G15"/>
    <mergeCell ref="B16:G16"/>
    <mergeCell ref="C21:G21"/>
    <mergeCell ref="C22:G22"/>
    <mergeCell ref="B25:G25"/>
  </mergeCells>
  <hyperlinks>
    <hyperlink ref="D10" r:id="rId1" xr:uid="{C8C378B2-F62A-41BA-9E90-93A3677896FC}"/>
    <hyperlink ref="D11" r:id="rId2" xr:uid="{235F57A4-5E63-4445-B783-D62306D3149D}"/>
  </hyperlinks>
  <pageMargins left="0.70866141732283472" right="0.70866141732283472" top="0.74803149606299213" bottom="0.74803149606299213" header="0.31496062992125984" footer="0.31496062992125984"/>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10953-8D0B-4A89-98F5-62524D2B9791}">
  <sheetPr>
    <pageSetUpPr fitToPage="1"/>
  </sheetPr>
  <dimension ref="B1:S43"/>
  <sheetViews>
    <sheetView showGridLines="0" zoomScaleNormal="100" zoomScalePageLayoutView="90" workbookViewId="0">
      <selection activeCell="F1" sqref="F1"/>
    </sheetView>
  </sheetViews>
  <sheetFormatPr defaultColWidth="9" defaultRowHeight="15" x14ac:dyDescent="0.25"/>
  <cols>
    <col min="3" max="3" width="53" customWidth="1"/>
    <col min="4" max="4" width="39.7109375" customWidth="1"/>
    <col min="5" max="5" width="20.42578125" customWidth="1"/>
  </cols>
  <sheetData>
    <row r="1" spans="2:19" ht="15.75" x14ac:dyDescent="0.25">
      <c r="C1" s="92"/>
    </row>
    <row r="2" spans="2:19" ht="18.75" x14ac:dyDescent="0.3">
      <c r="B2" s="416" t="s">
        <v>315</v>
      </c>
      <c r="G2" s="868"/>
    </row>
    <row r="3" spans="2:19" ht="15" customHeight="1" x14ac:dyDescent="0.25">
      <c r="B3" s="993"/>
      <c r="C3" s="993"/>
      <c r="D3" s="993"/>
      <c r="E3" s="993"/>
      <c r="F3" s="93"/>
      <c r="G3" s="93"/>
      <c r="H3" s="93"/>
      <c r="I3" s="93"/>
      <c r="J3" s="93"/>
      <c r="K3" s="93"/>
      <c r="L3" s="93"/>
      <c r="M3" s="93"/>
      <c r="N3" s="93"/>
      <c r="O3" s="93"/>
      <c r="P3" s="93"/>
      <c r="Q3" s="93"/>
      <c r="R3" s="93"/>
      <c r="S3" s="93"/>
    </row>
    <row r="4" spans="2:19" x14ac:dyDescent="0.25">
      <c r="B4" s="993"/>
      <c r="C4" s="993"/>
      <c r="D4" s="993"/>
      <c r="E4" s="993"/>
      <c r="F4" s="93"/>
      <c r="G4" s="93"/>
      <c r="H4" s="93"/>
      <c r="I4" s="93"/>
      <c r="J4" s="93"/>
      <c r="K4" s="93"/>
      <c r="L4" s="93"/>
      <c r="M4" s="93"/>
      <c r="N4" s="93"/>
      <c r="O4" s="93"/>
      <c r="P4" s="93"/>
      <c r="Q4" s="93"/>
      <c r="R4" s="93"/>
      <c r="S4" s="93"/>
    </row>
    <row r="5" spans="2:19" x14ac:dyDescent="0.25">
      <c r="B5" s="999" t="s">
        <v>1423</v>
      </c>
      <c r="C5" s="1000"/>
      <c r="D5" s="477" t="s">
        <v>103</v>
      </c>
      <c r="E5" s="464" t="s">
        <v>97</v>
      </c>
    </row>
    <row r="6" spans="2:19" ht="45" x14ac:dyDescent="0.25">
      <c r="B6" s="999"/>
      <c r="C6" s="1000"/>
      <c r="D6" s="479" t="s">
        <v>1425</v>
      </c>
      <c r="E6" s="469" t="s">
        <v>316</v>
      </c>
    </row>
    <row r="7" spans="2:19" x14ac:dyDescent="0.25">
      <c r="B7" s="1001"/>
      <c r="C7" s="1002"/>
      <c r="D7" s="479" t="s">
        <v>317</v>
      </c>
      <c r="E7" s="469"/>
    </row>
    <row r="8" spans="2:19" ht="30" customHeight="1" x14ac:dyDescent="0.25">
      <c r="B8" s="994" t="s">
        <v>1454</v>
      </c>
      <c r="C8" s="995"/>
      <c r="D8" s="996"/>
      <c r="E8" s="997"/>
    </row>
    <row r="9" spans="2:19" ht="30" x14ac:dyDescent="0.25">
      <c r="B9" s="475">
        <v>1</v>
      </c>
      <c r="C9" s="28" t="s">
        <v>119</v>
      </c>
      <c r="D9" s="162">
        <f>+'3'!D9</f>
        <v>736055</v>
      </c>
      <c r="E9" s="496"/>
    </row>
    <row r="10" spans="2:19" x14ac:dyDescent="0.25">
      <c r="B10" s="475">
        <v>2</v>
      </c>
      <c r="C10" s="28" t="s">
        <v>120</v>
      </c>
      <c r="D10" s="162">
        <f>+'3'!D10</f>
        <v>113158</v>
      </c>
      <c r="E10" s="496"/>
    </row>
    <row r="11" spans="2:19" x14ac:dyDescent="0.25">
      <c r="B11" s="475">
        <v>3</v>
      </c>
      <c r="C11" s="28" t="s">
        <v>121</v>
      </c>
      <c r="D11" s="162">
        <f>+'3'!D11</f>
        <v>0</v>
      </c>
      <c r="E11" s="496"/>
    </row>
    <row r="12" spans="2:19" x14ac:dyDescent="0.25">
      <c r="B12" s="475">
        <v>4</v>
      </c>
      <c r="C12" s="28" t="s">
        <v>122</v>
      </c>
      <c r="D12" s="162">
        <f>+'3'!D12</f>
        <v>4106151</v>
      </c>
      <c r="E12" s="496"/>
    </row>
    <row r="13" spans="2:19" x14ac:dyDescent="0.25">
      <c r="B13" s="475">
        <v>5</v>
      </c>
      <c r="C13" s="28" t="s">
        <v>123</v>
      </c>
      <c r="D13" s="162">
        <f>+'3'!D13</f>
        <v>3378197</v>
      </c>
      <c r="E13" s="496"/>
    </row>
    <row r="14" spans="2:19" x14ac:dyDescent="0.25">
      <c r="B14" s="475">
        <v>6</v>
      </c>
      <c r="C14" s="28" t="s">
        <v>124</v>
      </c>
      <c r="D14" s="162">
        <f>+'3'!D14</f>
        <v>330725</v>
      </c>
      <c r="E14" s="496"/>
    </row>
    <row r="15" spans="2:19" x14ac:dyDescent="0.25">
      <c r="B15" s="475">
        <v>7</v>
      </c>
      <c r="C15" s="28" t="s">
        <v>125</v>
      </c>
      <c r="D15" s="162">
        <f>+'3'!D15</f>
        <v>54233</v>
      </c>
      <c r="E15" s="496"/>
    </row>
    <row r="16" spans="2:19" x14ac:dyDescent="0.25">
      <c r="B16" s="475">
        <v>8</v>
      </c>
      <c r="C16" s="28" t="s">
        <v>126</v>
      </c>
      <c r="D16" s="162">
        <f>+'3'!D16</f>
        <v>846694</v>
      </c>
      <c r="E16" s="496"/>
    </row>
    <row r="17" spans="2:5" x14ac:dyDescent="0.25">
      <c r="B17" s="475">
        <v>9</v>
      </c>
      <c r="C17" s="28" t="s">
        <v>127</v>
      </c>
      <c r="D17" s="162">
        <f>+'3'!D17</f>
        <v>75469</v>
      </c>
      <c r="E17" s="496"/>
    </row>
    <row r="18" spans="2:5" x14ac:dyDescent="0.25">
      <c r="B18" s="475">
        <v>10</v>
      </c>
      <c r="C18" s="28" t="s">
        <v>128</v>
      </c>
      <c r="D18" s="162">
        <f>+'3'!D18</f>
        <v>3244</v>
      </c>
      <c r="E18" s="496"/>
    </row>
    <row r="19" spans="2:5" x14ac:dyDescent="0.25">
      <c r="B19" s="475">
        <v>11</v>
      </c>
      <c r="C19" s="28" t="s">
        <v>129</v>
      </c>
      <c r="D19" s="162">
        <f>+'3'!D19</f>
        <v>3533</v>
      </c>
      <c r="E19" s="496"/>
    </row>
    <row r="20" spans="2:5" x14ac:dyDescent="0.25">
      <c r="B20" s="475">
        <f>+B19+1</f>
        <v>12</v>
      </c>
      <c r="C20" s="28" t="s">
        <v>1494</v>
      </c>
      <c r="D20" s="162">
        <f>+'3'!D20</f>
        <v>0</v>
      </c>
      <c r="E20" s="496"/>
    </row>
    <row r="21" spans="2:5" x14ac:dyDescent="0.25">
      <c r="B21" s="475">
        <f>+B20+1</f>
        <v>13</v>
      </c>
      <c r="C21" s="28" t="s">
        <v>130</v>
      </c>
      <c r="D21" s="162">
        <f>+'3'!D21</f>
        <v>146164</v>
      </c>
      <c r="E21" s="496"/>
    </row>
    <row r="22" spans="2:5" x14ac:dyDescent="0.25">
      <c r="B22" s="475">
        <f>+B21+1</f>
        <v>14</v>
      </c>
      <c r="C22" s="28" t="s">
        <v>131</v>
      </c>
      <c r="D22" s="162">
        <f>+'3'!D22</f>
        <v>10155</v>
      </c>
      <c r="E22" s="496"/>
    </row>
    <row r="23" spans="2:5" x14ac:dyDescent="0.25">
      <c r="B23" s="475"/>
      <c r="C23" s="95" t="s">
        <v>318</v>
      </c>
      <c r="D23" s="162">
        <f>SUM(D9:D22)</f>
        <v>9803778</v>
      </c>
      <c r="E23" s="496"/>
    </row>
    <row r="24" spans="2:5" ht="30" customHeight="1" x14ac:dyDescent="0.25">
      <c r="B24" s="994" t="s">
        <v>1455</v>
      </c>
      <c r="C24" s="995"/>
      <c r="D24" s="995"/>
      <c r="E24" s="998"/>
    </row>
    <row r="25" spans="2:5" x14ac:dyDescent="0.25">
      <c r="B25" s="476">
        <v>1</v>
      </c>
      <c r="C25" s="28" t="s">
        <v>135</v>
      </c>
      <c r="D25" s="162">
        <f>+'3'!D26</f>
        <v>199554</v>
      </c>
      <c r="E25" s="497"/>
    </row>
    <row r="26" spans="2:5" x14ac:dyDescent="0.25">
      <c r="B26" s="475">
        <v>2</v>
      </c>
      <c r="C26" s="28" t="s">
        <v>136</v>
      </c>
      <c r="D26" s="162">
        <f>+'3'!D27</f>
        <v>7203781</v>
      </c>
      <c r="E26" s="497"/>
    </row>
    <row r="27" spans="2:5" x14ac:dyDescent="0.25">
      <c r="B27" s="475">
        <v>3</v>
      </c>
      <c r="C27" s="28" t="s">
        <v>137</v>
      </c>
      <c r="D27" s="162">
        <f>+'3'!D28</f>
        <v>846694</v>
      </c>
      <c r="E27" s="497"/>
    </row>
    <row r="28" spans="2:5" x14ac:dyDescent="0.25">
      <c r="B28" s="475">
        <v>4</v>
      </c>
      <c r="C28" s="45" t="s">
        <v>1495</v>
      </c>
      <c r="D28" s="162">
        <f>+'3'!D29</f>
        <v>0</v>
      </c>
      <c r="E28" s="497"/>
    </row>
    <row r="29" spans="2:5" x14ac:dyDescent="0.25">
      <c r="B29" s="475">
        <v>5</v>
      </c>
      <c r="C29" s="28" t="s">
        <v>138</v>
      </c>
      <c r="D29" s="162">
        <f>+'3'!D30</f>
        <v>59791</v>
      </c>
      <c r="E29" s="497"/>
    </row>
    <row r="30" spans="2:5" x14ac:dyDescent="0.25">
      <c r="B30" s="475">
        <v>6</v>
      </c>
      <c r="C30" s="28" t="s">
        <v>131</v>
      </c>
      <c r="D30" s="162">
        <f>+'3'!D31</f>
        <v>17118</v>
      </c>
      <c r="E30" s="497"/>
    </row>
    <row r="31" spans="2:5" x14ac:dyDescent="0.25">
      <c r="B31" s="475">
        <v>7</v>
      </c>
      <c r="C31" s="45" t="s">
        <v>1588</v>
      </c>
      <c r="D31" s="162">
        <f>+'3'!D32</f>
        <v>46417</v>
      </c>
      <c r="E31" s="497"/>
    </row>
    <row r="32" spans="2:5" x14ac:dyDescent="0.25">
      <c r="B32" s="475"/>
      <c r="C32" s="95" t="s">
        <v>319</v>
      </c>
      <c r="D32" s="162">
        <f>SUM(D25:D31)</f>
        <v>8373355</v>
      </c>
      <c r="E32" s="497"/>
    </row>
    <row r="33" spans="2:5" ht="15" customHeight="1" x14ac:dyDescent="0.25">
      <c r="B33" s="97" t="s">
        <v>320</v>
      </c>
      <c r="C33" s="98"/>
      <c r="D33" s="99"/>
      <c r="E33" s="100"/>
    </row>
    <row r="34" spans="2:5" x14ac:dyDescent="0.25">
      <c r="B34" s="475">
        <v>1</v>
      </c>
      <c r="C34" s="28" t="s">
        <v>139</v>
      </c>
      <c r="D34" s="162">
        <f>+'3'!D33</f>
        <v>75810</v>
      </c>
      <c r="E34" s="96" t="s">
        <v>1426</v>
      </c>
    </row>
    <row r="35" spans="2:5" x14ac:dyDescent="0.25">
      <c r="B35" s="475">
        <v>2</v>
      </c>
      <c r="C35" s="28" t="s">
        <v>140</v>
      </c>
      <c r="D35" s="162">
        <f>+'3'!D34</f>
        <v>3718</v>
      </c>
      <c r="E35" s="96" t="s">
        <v>1430</v>
      </c>
    </row>
    <row r="36" spans="2:5" x14ac:dyDescent="0.25">
      <c r="B36" s="475">
        <v>3</v>
      </c>
      <c r="C36" s="28" t="s">
        <v>141</v>
      </c>
      <c r="D36" s="162">
        <f>+'3'!D35</f>
        <v>-610</v>
      </c>
      <c r="E36" s="96" t="s">
        <v>1430</v>
      </c>
    </row>
    <row r="37" spans="2:5" x14ac:dyDescent="0.25">
      <c r="B37" s="475">
        <v>4</v>
      </c>
      <c r="C37" s="28" t="s">
        <v>1432</v>
      </c>
      <c r="D37" s="162">
        <f>1310596-83057</f>
        <v>1227539</v>
      </c>
      <c r="E37" s="96" t="s">
        <v>1429</v>
      </c>
    </row>
    <row r="38" spans="2:5" x14ac:dyDescent="0.25">
      <c r="B38" s="475">
        <v>5</v>
      </c>
      <c r="C38" s="28" t="s">
        <v>1433</v>
      </c>
      <c r="D38" s="162">
        <f>123966-40909</f>
        <v>83057</v>
      </c>
      <c r="E38" s="96" t="s">
        <v>1434</v>
      </c>
    </row>
    <row r="39" spans="2:5" x14ac:dyDescent="0.25">
      <c r="B39" s="475">
        <v>6</v>
      </c>
      <c r="C39" s="28" t="s">
        <v>143</v>
      </c>
      <c r="D39" s="162">
        <v>40909</v>
      </c>
      <c r="E39" s="96"/>
    </row>
    <row r="40" spans="2:5" x14ac:dyDescent="0.25">
      <c r="B40" s="475">
        <v>7</v>
      </c>
      <c r="C40" s="28" t="s">
        <v>1436</v>
      </c>
      <c r="D40" s="162">
        <v>0</v>
      </c>
      <c r="E40" s="96"/>
    </row>
    <row r="41" spans="2:5" x14ac:dyDescent="0.25">
      <c r="B41" s="475"/>
      <c r="C41" s="95" t="s">
        <v>321</v>
      </c>
      <c r="D41" s="162">
        <f>SUM(D34:D40)</f>
        <v>1430423</v>
      </c>
      <c r="E41" s="96"/>
    </row>
    <row r="42" spans="2:5" x14ac:dyDescent="0.25">
      <c r="D42" s="102"/>
      <c r="E42" s="102"/>
    </row>
    <row r="43" spans="2:5" x14ac:dyDescent="0.25">
      <c r="D43" s="353"/>
    </row>
  </sheetData>
  <mergeCells count="4">
    <mergeCell ref="B3:E4"/>
    <mergeCell ref="B8:E8"/>
    <mergeCell ref="B24:E24"/>
    <mergeCell ref="B5:C7"/>
  </mergeCells>
  <hyperlinks>
    <hyperlink ref="B2" location="Indhold!B12" display="Skema CC2 – Afstemning mellem lovbestemt kapitalgrundlag og balancen i de reviderede regnskaber" xr:uid="{41440300-B052-41A9-97FC-9680929EA14E}"/>
  </hyperlinks>
  <pageMargins left="0.7" right="0.7" top="0.75" bottom="0.75" header="0.3" footer="0.3"/>
  <pageSetup paperSize="9" scale="75" orientation="landscape" r:id="rId1"/>
  <headerFooter>
    <oddHeader>&amp;CDA
Bilag VII</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FED32-1E51-4E63-8719-1D0B24E9F6AE}">
  <sheetPr>
    <pageSetUpPr fitToPage="1"/>
  </sheetPr>
  <dimension ref="B2:F21"/>
  <sheetViews>
    <sheetView showGridLines="0" zoomScaleNormal="100" workbookViewId="0">
      <selection activeCell="F1" sqref="F1"/>
    </sheetView>
  </sheetViews>
  <sheetFormatPr defaultColWidth="9.140625" defaultRowHeight="15" x14ac:dyDescent="0.25"/>
  <cols>
    <col min="3" max="3" width="63.140625" customWidth="1"/>
    <col min="4" max="4" width="17.85546875" style="87" customWidth="1"/>
  </cols>
  <sheetData>
    <row r="2" spans="2:6" ht="18.75" customHeight="1" x14ac:dyDescent="0.3">
      <c r="B2" s="416" t="s">
        <v>355</v>
      </c>
      <c r="C2" s="121"/>
      <c r="D2" s="122"/>
    </row>
    <row r="3" spans="2:6" ht="15" customHeight="1" x14ac:dyDescent="0.25">
      <c r="B3" s="121"/>
      <c r="C3" s="121"/>
      <c r="D3"/>
    </row>
    <row r="5" spans="2:6" x14ac:dyDescent="0.25">
      <c r="B5" s="714"/>
      <c r="C5" s="715"/>
      <c r="D5" s="482" t="s">
        <v>1423</v>
      </c>
    </row>
    <row r="6" spans="2:6" x14ac:dyDescent="0.25">
      <c r="B6" s="716"/>
      <c r="C6" s="717"/>
      <c r="D6" s="483" t="s">
        <v>356</v>
      </c>
    </row>
    <row r="7" spans="2:6" x14ac:dyDescent="0.25">
      <c r="B7" s="123">
        <v>1</v>
      </c>
      <c r="C7" s="480" t="s">
        <v>357</v>
      </c>
      <c r="D7" s="481">
        <f>+'7'!D23</f>
        <v>9803778</v>
      </c>
      <c r="E7" s="125"/>
      <c r="F7" s="25"/>
    </row>
    <row r="8" spans="2:6" ht="45" x14ac:dyDescent="0.25">
      <c r="B8" s="16">
        <v>2</v>
      </c>
      <c r="C8" s="28" t="s">
        <v>358</v>
      </c>
      <c r="D8" s="124">
        <v>0</v>
      </c>
      <c r="E8" s="125"/>
      <c r="F8" s="25"/>
    </row>
    <row r="9" spans="2:6" ht="30" x14ac:dyDescent="0.25">
      <c r="B9" s="16">
        <v>3</v>
      </c>
      <c r="C9" s="28" t="s">
        <v>359</v>
      </c>
      <c r="D9" s="126">
        <v>0</v>
      </c>
    </row>
    <row r="10" spans="2:6" ht="30" x14ac:dyDescent="0.25">
      <c r="B10" s="16">
        <v>4</v>
      </c>
      <c r="C10" s="58" t="s">
        <v>360</v>
      </c>
      <c r="D10" s="126">
        <v>0</v>
      </c>
    </row>
    <row r="11" spans="2:6" ht="60" x14ac:dyDescent="0.25">
      <c r="B11" s="16">
        <v>5</v>
      </c>
      <c r="C11" s="9" t="s">
        <v>361</v>
      </c>
      <c r="D11" s="126">
        <v>0</v>
      </c>
    </row>
    <row r="12" spans="2:6" ht="30" x14ac:dyDescent="0.25">
      <c r="B12" s="16">
        <v>6</v>
      </c>
      <c r="C12" s="28" t="s">
        <v>362</v>
      </c>
      <c r="D12" s="127">
        <v>0</v>
      </c>
    </row>
    <row r="13" spans="2:6" x14ac:dyDescent="0.25">
      <c r="B13" s="16">
        <v>7</v>
      </c>
      <c r="C13" s="28" t="s">
        <v>363</v>
      </c>
      <c r="D13" s="128">
        <v>0</v>
      </c>
    </row>
    <row r="14" spans="2:6" x14ac:dyDescent="0.25">
      <c r="B14" s="16">
        <v>8</v>
      </c>
      <c r="C14" s="28" t="s">
        <v>364</v>
      </c>
      <c r="D14" s="126">
        <v>0</v>
      </c>
    </row>
    <row r="15" spans="2:6" x14ac:dyDescent="0.25">
      <c r="B15" s="16">
        <v>9</v>
      </c>
      <c r="C15" s="28" t="s">
        <v>365</v>
      </c>
      <c r="D15" s="126">
        <v>0</v>
      </c>
    </row>
    <row r="16" spans="2:6" ht="30" x14ac:dyDescent="0.25">
      <c r="B16" s="16">
        <v>10</v>
      </c>
      <c r="C16" s="28" t="s">
        <v>366</v>
      </c>
      <c r="D16" s="126">
        <f>+(263287000+51492000+16081000+852858000)/1000-1</f>
        <v>1183717</v>
      </c>
    </row>
    <row r="17" spans="2:4" ht="45" x14ac:dyDescent="0.25">
      <c r="B17" s="16">
        <v>11</v>
      </c>
      <c r="C17" s="9" t="s">
        <v>367</v>
      </c>
      <c r="D17" s="129">
        <v>0</v>
      </c>
    </row>
    <row r="18" spans="2:4" ht="30" x14ac:dyDescent="0.25">
      <c r="B18" s="16" t="s">
        <v>368</v>
      </c>
      <c r="C18" s="9" t="s">
        <v>369</v>
      </c>
      <c r="D18" s="130">
        <v>0</v>
      </c>
    </row>
    <row r="19" spans="2:4" ht="30" x14ac:dyDescent="0.25">
      <c r="B19" s="16" t="s">
        <v>370</v>
      </c>
      <c r="C19" s="9" t="s">
        <v>371</v>
      </c>
      <c r="D19" s="130">
        <v>0</v>
      </c>
    </row>
    <row r="20" spans="2:4" x14ac:dyDescent="0.25">
      <c r="B20" s="16">
        <v>12</v>
      </c>
      <c r="C20" s="28" t="s">
        <v>372</v>
      </c>
      <c r="D20" s="126">
        <v>-136819</v>
      </c>
    </row>
    <row r="21" spans="2:4" x14ac:dyDescent="0.25">
      <c r="B21" s="16">
        <v>13</v>
      </c>
      <c r="C21" s="95" t="s">
        <v>373</v>
      </c>
      <c r="D21" s="130">
        <f>+'9'!D55</f>
        <v>10850676</v>
      </c>
    </row>
  </sheetData>
  <hyperlinks>
    <hyperlink ref="B2" location="Indhold!B14" display="Skema EU LR1 - LRSum: Afstemning mellem regnskabsmæssige aktiver og gearingsgradrelevante eksponeringer — oversigt" xr:uid="{B23A74C6-FC70-4DB0-B46E-6372CB7AE42F}"/>
  </hyperlinks>
  <pageMargins left="0.70866141732283472" right="0.70866141732283472" top="0.74803149606299213" bottom="0.74803149606299213" header="0.31496062992125984" footer="0.31496062992125984"/>
  <pageSetup paperSize="9" orientation="landscape" r:id="rId1"/>
  <headerFooter>
    <oddHeader>&amp;CDA
Bilag XI</oddHeader>
    <oddFooter>&amp;C1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BE23F-B6CA-410E-A336-63C38B47C9AC}">
  <sheetPr>
    <pageSetUpPr fitToPage="1"/>
  </sheetPr>
  <dimension ref="A1:M73"/>
  <sheetViews>
    <sheetView showGridLines="0" zoomScaleNormal="100" workbookViewId="0">
      <selection activeCell="F1" sqref="F1"/>
    </sheetView>
  </sheetViews>
  <sheetFormatPr defaultColWidth="9.140625" defaultRowHeight="43.5" customHeight="1" x14ac:dyDescent="0.25"/>
  <cols>
    <col min="2" max="2" width="8.5703125" style="85" customWidth="1"/>
    <col min="3" max="3" width="71.85546875" customWidth="1"/>
    <col min="4" max="4" width="14" style="102" customWidth="1"/>
    <col min="5" max="5" width="13.85546875" style="102" customWidth="1"/>
  </cols>
  <sheetData>
    <row r="1" spans="1:5" ht="15" x14ac:dyDescent="0.25"/>
    <row r="2" spans="1:5" ht="18.75" x14ac:dyDescent="0.3">
      <c r="A2" s="131"/>
      <c r="B2" s="416" t="s">
        <v>374</v>
      </c>
    </row>
    <row r="3" spans="1:5" ht="15" customHeight="1" x14ac:dyDescent="0.3">
      <c r="A3" s="131"/>
      <c r="B3" s="416"/>
    </row>
    <row r="4" spans="1:5" ht="15" x14ac:dyDescent="0.25"/>
    <row r="5" spans="1:5" ht="43.5" customHeight="1" x14ac:dyDescent="0.25">
      <c r="B5" s="802"/>
      <c r="C5" s="803"/>
      <c r="D5" s="1012" t="s">
        <v>375</v>
      </c>
      <c r="E5" s="1012"/>
    </row>
    <row r="6" spans="1:5" ht="43.5" customHeight="1" x14ac:dyDescent="0.25">
      <c r="B6" s="1013"/>
      <c r="C6" s="1013"/>
      <c r="D6" s="485" t="s">
        <v>1423</v>
      </c>
      <c r="E6" s="485" t="s">
        <v>1423</v>
      </c>
    </row>
    <row r="7" spans="1:5" ht="43.5" customHeight="1" x14ac:dyDescent="0.25">
      <c r="B7" s="1014"/>
      <c r="C7" s="1014"/>
      <c r="D7" s="486" t="s">
        <v>1589</v>
      </c>
      <c r="E7" s="486" t="s">
        <v>1499</v>
      </c>
    </row>
    <row r="8" spans="1:5" ht="15" x14ac:dyDescent="0.25">
      <c r="B8" s="1015" t="s">
        <v>376</v>
      </c>
      <c r="C8" s="1016"/>
      <c r="D8" s="1016"/>
      <c r="E8" s="1017"/>
    </row>
    <row r="9" spans="1:5" ht="15" x14ac:dyDescent="0.25">
      <c r="B9" s="132">
        <v>1</v>
      </c>
      <c r="C9" s="9" t="s">
        <v>377</v>
      </c>
      <c r="D9" s="128">
        <f>+'8'!D7</f>
        <v>9803778</v>
      </c>
      <c r="E9" s="128">
        <v>8774914</v>
      </c>
    </row>
    <row r="10" spans="1:5" ht="30" x14ac:dyDescent="0.25">
      <c r="B10" s="52">
        <v>2</v>
      </c>
      <c r="C10" s="9" t="s">
        <v>378</v>
      </c>
      <c r="D10" s="126">
        <v>0</v>
      </c>
      <c r="E10" s="126">
        <v>0</v>
      </c>
    </row>
    <row r="11" spans="1:5" ht="30" x14ac:dyDescent="0.25">
      <c r="B11" s="52">
        <v>3</v>
      </c>
      <c r="C11" s="9" t="s">
        <v>379</v>
      </c>
      <c r="D11" s="126">
        <v>0</v>
      </c>
      <c r="E11" s="126">
        <v>0</v>
      </c>
    </row>
    <row r="12" spans="1:5" ht="30" x14ac:dyDescent="0.25">
      <c r="B12" s="52">
        <v>4</v>
      </c>
      <c r="C12" s="9" t="s">
        <v>380</v>
      </c>
      <c r="D12" s="126">
        <v>0</v>
      </c>
      <c r="E12" s="126">
        <v>0</v>
      </c>
    </row>
    <row r="13" spans="1:5" ht="15" x14ac:dyDescent="0.25">
      <c r="B13" s="52">
        <v>5</v>
      </c>
      <c r="C13" s="133" t="s">
        <v>381</v>
      </c>
      <c r="D13" s="127">
        <v>0</v>
      </c>
      <c r="E13" s="127">
        <v>0</v>
      </c>
    </row>
    <row r="14" spans="1:5" ht="15" x14ac:dyDescent="0.25">
      <c r="B14" s="132">
        <v>6</v>
      </c>
      <c r="C14" s="9" t="s">
        <v>382</v>
      </c>
      <c r="D14" s="126">
        <v>-136819</v>
      </c>
      <c r="E14" s="126">
        <v>-139861</v>
      </c>
    </row>
    <row r="15" spans="1:5" ht="15" x14ac:dyDescent="0.25">
      <c r="B15" s="134">
        <v>7</v>
      </c>
      <c r="C15" s="135" t="s">
        <v>383</v>
      </c>
      <c r="D15" s="136">
        <f>SUM(D9:D14)</f>
        <v>9666959</v>
      </c>
      <c r="E15" s="136">
        <f>SUM(E9:E14)</f>
        <v>8635053</v>
      </c>
    </row>
    <row r="16" spans="1:5" ht="15" x14ac:dyDescent="0.25">
      <c r="B16" s="1009" t="s">
        <v>384</v>
      </c>
      <c r="C16" s="1010"/>
      <c r="D16" s="1010"/>
      <c r="E16" s="1011"/>
    </row>
    <row r="17" spans="2:5" ht="45" x14ac:dyDescent="0.25">
      <c r="B17" s="10">
        <v>8</v>
      </c>
      <c r="C17" s="137" t="s">
        <v>385</v>
      </c>
      <c r="D17" s="128">
        <v>0</v>
      </c>
      <c r="E17" s="128">
        <v>0</v>
      </c>
    </row>
    <row r="18" spans="2:5" ht="30" x14ac:dyDescent="0.25">
      <c r="B18" s="10" t="s">
        <v>386</v>
      </c>
      <c r="C18" s="138" t="s">
        <v>387</v>
      </c>
      <c r="D18" s="128">
        <v>0</v>
      </c>
      <c r="E18" s="128">
        <v>0</v>
      </c>
    </row>
    <row r="19" spans="2:5" ht="30" x14ac:dyDescent="0.25">
      <c r="B19" s="10">
        <v>9</v>
      </c>
      <c r="C19" s="9" t="s">
        <v>388</v>
      </c>
      <c r="D19" s="128">
        <v>0</v>
      </c>
      <c r="E19" s="128">
        <v>0</v>
      </c>
    </row>
    <row r="20" spans="2:5" ht="30" x14ac:dyDescent="0.25">
      <c r="B20" s="10" t="s">
        <v>389</v>
      </c>
      <c r="C20" s="139" t="s">
        <v>390</v>
      </c>
      <c r="D20" s="128">
        <v>0</v>
      </c>
      <c r="E20" s="128">
        <v>0</v>
      </c>
    </row>
    <row r="21" spans="2:5" ht="15" x14ac:dyDescent="0.25">
      <c r="B21" s="10" t="s">
        <v>391</v>
      </c>
      <c r="C21" s="139" t="s">
        <v>392</v>
      </c>
      <c r="D21" s="128">
        <v>0</v>
      </c>
      <c r="E21" s="128">
        <v>0</v>
      </c>
    </row>
    <row r="22" spans="2:5" ht="30" x14ac:dyDescent="0.25">
      <c r="B22" s="140">
        <v>10</v>
      </c>
      <c r="C22" s="101" t="s">
        <v>393</v>
      </c>
      <c r="D22" s="128">
        <v>0</v>
      </c>
      <c r="E22" s="128">
        <v>0</v>
      </c>
    </row>
    <row r="23" spans="2:5" ht="30" x14ac:dyDescent="0.25">
      <c r="B23" s="140" t="s">
        <v>394</v>
      </c>
      <c r="C23" s="11" t="s">
        <v>395</v>
      </c>
      <c r="D23" s="128">
        <v>0</v>
      </c>
      <c r="E23" s="128">
        <v>0</v>
      </c>
    </row>
    <row r="24" spans="2:5" ht="30" x14ac:dyDescent="0.25">
      <c r="B24" s="140" t="s">
        <v>396</v>
      </c>
      <c r="C24" s="141" t="s">
        <v>397</v>
      </c>
      <c r="D24" s="128">
        <v>0</v>
      </c>
      <c r="E24" s="128">
        <v>0</v>
      </c>
    </row>
    <row r="25" spans="2:5" ht="15" x14ac:dyDescent="0.25">
      <c r="B25" s="10">
        <v>11</v>
      </c>
      <c r="C25" s="9" t="s">
        <v>398</v>
      </c>
      <c r="D25" s="128">
        <v>0</v>
      </c>
      <c r="E25" s="128">
        <v>0</v>
      </c>
    </row>
    <row r="26" spans="2:5" ht="30" x14ac:dyDescent="0.25">
      <c r="B26" s="10">
        <v>12</v>
      </c>
      <c r="C26" s="9" t="s">
        <v>399</v>
      </c>
      <c r="D26" s="128">
        <v>0</v>
      </c>
      <c r="E26" s="128">
        <v>0</v>
      </c>
    </row>
    <row r="27" spans="2:5" ht="15" x14ac:dyDescent="0.25">
      <c r="B27" s="142">
        <v>13</v>
      </c>
      <c r="C27" s="143" t="s">
        <v>400</v>
      </c>
      <c r="D27" s="136">
        <f>SUM(D17:D26)</f>
        <v>0</v>
      </c>
      <c r="E27" s="136">
        <f>SUM(E17:E26)</f>
        <v>0</v>
      </c>
    </row>
    <row r="28" spans="2:5" ht="15" x14ac:dyDescent="0.25">
      <c r="B28" s="1018" t="s">
        <v>401</v>
      </c>
      <c r="C28" s="1019"/>
      <c r="D28" s="1019"/>
      <c r="E28" s="1020"/>
    </row>
    <row r="29" spans="2:5" ht="30" x14ac:dyDescent="0.25">
      <c r="B29" s="132">
        <v>14</v>
      </c>
      <c r="C29" s="9" t="s">
        <v>402</v>
      </c>
      <c r="D29" s="128">
        <v>0</v>
      </c>
      <c r="E29" s="128">
        <v>0</v>
      </c>
    </row>
    <row r="30" spans="2:5" ht="30" x14ac:dyDescent="0.25">
      <c r="B30" s="132">
        <v>15</v>
      </c>
      <c r="C30" s="9" t="s">
        <v>403</v>
      </c>
      <c r="D30" s="499">
        <v>0</v>
      </c>
      <c r="E30" s="128">
        <v>0</v>
      </c>
    </row>
    <row r="31" spans="2:5" ht="15" x14ac:dyDescent="0.25">
      <c r="B31" s="132">
        <v>16</v>
      </c>
      <c r="C31" s="9" t="s">
        <v>404</v>
      </c>
      <c r="D31" s="128">
        <v>0</v>
      </c>
      <c r="E31" s="128">
        <v>0</v>
      </c>
    </row>
    <row r="32" spans="2:5" ht="30" x14ac:dyDescent="0.25">
      <c r="B32" s="10" t="s">
        <v>405</v>
      </c>
      <c r="C32" s="9" t="s">
        <v>406</v>
      </c>
      <c r="D32" s="128">
        <v>0</v>
      </c>
      <c r="E32" s="128">
        <v>0</v>
      </c>
    </row>
    <row r="33" spans="2:5" ht="15" x14ac:dyDescent="0.25">
      <c r="B33" s="10">
        <v>17</v>
      </c>
      <c r="C33" s="9" t="s">
        <v>407</v>
      </c>
      <c r="D33" s="128">
        <v>0</v>
      </c>
      <c r="E33" s="128">
        <v>0</v>
      </c>
    </row>
    <row r="34" spans="2:5" ht="15" x14ac:dyDescent="0.25">
      <c r="B34" s="10" t="s">
        <v>408</v>
      </c>
      <c r="C34" s="9" t="s">
        <v>409</v>
      </c>
      <c r="D34" s="128">
        <v>0</v>
      </c>
      <c r="E34" s="128">
        <v>0</v>
      </c>
    </row>
    <row r="35" spans="2:5" ht="15" x14ac:dyDescent="0.25">
      <c r="B35" s="142">
        <v>18</v>
      </c>
      <c r="C35" s="143" t="s">
        <v>410</v>
      </c>
      <c r="D35" s="136">
        <f>SUM(D29:D34)</f>
        <v>0</v>
      </c>
      <c r="E35" s="136">
        <f>SUM(E29:E34)</f>
        <v>0</v>
      </c>
    </row>
    <row r="36" spans="2:5" ht="15" x14ac:dyDescent="0.25">
      <c r="B36" s="1009" t="s">
        <v>411</v>
      </c>
      <c r="C36" s="1010"/>
      <c r="D36" s="1010"/>
      <c r="E36" s="1011"/>
    </row>
    <row r="37" spans="2:5" ht="15" x14ac:dyDescent="0.25">
      <c r="B37" s="132">
        <v>19</v>
      </c>
      <c r="C37" s="9" t="s">
        <v>412</v>
      </c>
      <c r="D37" s="128">
        <v>3775343</v>
      </c>
      <c r="E37" s="128">
        <v>3857521</v>
      </c>
    </row>
    <row r="38" spans="2:5" ht="15" x14ac:dyDescent="0.25">
      <c r="B38" s="132">
        <v>20</v>
      </c>
      <c r="C38" s="9" t="s">
        <v>413</v>
      </c>
      <c r="D38" s="128">
        <f>+D40-D37</f>
        <v>-2591626</v>
      </c>
      <c r="E38" s="128">
        <f>+E40-E37</f>
        <v>-2521165</v>
      </c>
    </row>
    <row r="39" spans="2:5" ht="30" x14ac:dyDescent="0.25">
      <c r="B39" s="132">
        <v>21</v>
      </c>
      <c r="C39" s="58" t="s">
        <v>414</v>
      </c>
      <c r="D39" s="128">
        <v>0</v>
      </c>
      <c r="E39" s="128">
        <v>0</v>
      </c>
    </row>
    <row r="40" spans="2:5" ht="15" x14ac:dyDescent="0.25">
      <c r="B40" s="142">
        <v>22</v>
      </c>
      <c r="C40" s="143" t="s">
        <v>415</v>
      </c>
      <c r="D40" s="136">
        <v>1183717</v>
      </c>
      <c r="E40" s="136">
        <f>+(247968000+68080000+17134000+1003174000)/1000</f>
        <v>1336356</v>
      </c>
    </row>
    <row r="41" spans="2:5" ht="15" x14ac:dyDescent="0.25">
      <c r="B41" s="1003" t="s">
        <v>416</v>
      </c>
      <c r="C41" s="1004"/>
      <c r="D41" s="1004"/>
      <c r="E41" s="1005"/>
    </row>
    <row r="42" spans="2:5" ht="30" x14ac:dyDescent="0.25">
      <c r="B42" s="10" t="s">
        <v>417</v>
      </c>
      <c r="C42" s="9" t="s">
        <v>418</v>
      </c>
      <c r="D42" s="128">
        <v>0</v>
      </c>
      <c r="E42" s="128">
        <v>0</v>
      </c>
    </row>
    <row r="43" spans="2:5" ht="30" x14ac:dyDescent="0.25">
      <c r="B43" s="10" t="s">
        <v>419</v>
      </c>
      <c r="C43" s="9" t="s">
        <v>420</v>
      </c>
      <c r="D43" s="128">
        <v>0</v>
      </c>
      <c r="E43" s="128">
        <v>0</v>
      </c>
    </row>
    <row r="44" spans="2:5" ht="30" x14ac:dyDescent="0.25">
      <c r="B44" s="144" t="s">
        <v>421</v>
      </c>
      <c r="C44" s="138" t="s">
        <v>422</v>
      </c>
      <c r="D44" s="128">
        <v>0</v>
      </c>
      <c r="E44" s="128">
        <v>0</v>
      </c>
    </row>
    <row r="45" spans="2:5" ht="30" x14ac:dyDescent="0.25">
      <c r="B45" s="144" t="s">
        <v>423</v>
      </c>
      <c r="C45" s="138" t="s">
        <v>424</v>
      </c>
      <c r="D45" s="128">
        <v>0</v>
      </c>
      <c r="E45" s="128">
        <v>0</v>
      </c>
    </row>
    <row r="46" spans="2:5" ht="30" x14ac:dyDescent="0.25">
      <c r="B46" s="144" t="s">
        <v>425</v>
      </c>
      <c r="C46" s="145" t="s">
        <v>426</v>
      </c>
      <c r="D46" s="128">
        <v>0</v>
      </c>
      <c r="E46" s="128">
        <v>0</v>
      </c>
    </row>
    <row r="47" spans="2:5" ht="30" x14ac:dyDescent="0.25">
      <c r="B47" s="144" t="s">
        <v>427</v>
      </c>
      <c r="C47" s="138" t="s">
        <v>428</v>
      </c>
      <c r="D47" s="128">
        <v>0</v>
      </c>
      <c r="E47" s="128">
        <v>0</v>
      </c>
    </row>
    <row r="48" spans="2:5" ht="15" x14ac:dyDescent="0.25">
      <c r="B48" s="144" t="s">
        <v>429</v>
      </c>
      <c r="C48" s="138" t="s">
        <v>430</v>
      </c>
      <c r="D48" s="128">
        <v>0</v>
      </c>
      <c r="E48" s="128"/>
    </row>
    <row r="49" spans="2:5" ht="30" x14ac:dyDescent="0.25">
      <c r="B49" s="144" t="s">
        <v>431</v>
      </c>
      <c r="C49" s="138" t="s">
        <v>432</v>
      </c>
      <c r="D49" s="128">
        <v>0</v>
      </c>
      <c r="E49" s="128">
        <v>0</v>
      </c>
    </row>
    <row r="50" spans="2:5" ht="30" x14ac:dyDescent="0.25">
      <c r="B50" s="144" t="s">
        <v>433</v>
      </c>
      <c r="C50" s="138" t="s">
        <v>434</v>
      </c>
      <c r="D50" s="128">
        <v>0</v>
      </c>
      <c r="E50" s="128">
        <v>0</v>
      </c>
    </row>
    <row r="51" spans="2:5" ht="15" x14ac:dyDescent="0.25">
      <c r="B51" s="144" t="s">
        <v>435</v>
      </c>
      <c r="C51" s="138" t="s">
        <v>436</v>
      </c>
      <c r="D51" s="128">
        <v>0</v>
      </c>
      <c r="E51" s="128">
        <v>0</v>
      </c>
    </row>
    <row r="52" spans="2:5" ht="15" x14ac:dyDescent="0.25">
      <c r="B52" s="146" t="s">
        <v>437</v>
      </c>
      <c r="C52" s="147" t="s">
        <v>438</v>
      </c>
      <c r="D52" s="500">
        <f>SUM(D42:D51)</f>
        <v>0</v>
      </c>
      <c r="E52" s="500">
        <f>SUM(E42:E51)</f>
        <v>0</v>
      </c>
    </row>
    <row r="53" spans="2:5" ht="15" x14ac:dyDescent="0.25">
      <c r="B53" s="1006" t="s">
        <v>439</v>
      </c>
      <c r="C53" s="1007"/>
      <c r="D53" s="1007"/>
      <c r="E53" s="1008"/>
    </row>
    <row r="54" spans="2:5" ht="15" x14ac:dyDescent="0.25">
      <c r="B54" s="132">
        <v>23</v>
      </c>
      <c r="C54" s="148" t="s">
        <v>289</v>
      </c>
      <c r="D54" s="128">
        <f>+'2'!D10</f>
        <v>1237984.6200000001</v>
      </c>
      <c r="E54" s="128">
        <f>+'2'!E10</f>
        <v>1145176.1140000001</v>
      </c>
    </row>
    <row r="55" spans="2:5" ht="15" x14ac:dyDescent="0.25">
      <c r="B55" s="149">
        <v>24</v>
      </c>
      <c r="C55" s="150" t="s">
        <v>373</v>
      </c>
      <c r="D55" s="501">
        <f>+D15+D27+D35+D40+D52</f>
        <v>10850676</v>
      </c>
      <c r="E55" s="501">
        <f>+E15+E27+E35+E40+E52</f>
        <v>9971409</v>
      </c>
    </row>
    <row r="56" spans="2:5" ht="15" x14ac:dyDescent="0.25">
      <c r="B56" s="1006" t="s">
        <v>63</v>
      </c>
      <c r="C56" s="1007"/>
      <c r="D56" s="1007"/>
      <c r="E56" s="1008"/>
    </row>
    <row r="57" spans="2:5" ht="15" x14ac:dyDescent="0.25">
      <c r="B57" s="132">
        <v>25</v>
      </c>
      <c r="C57" s="20" t="s">
        <v>440</v>
      </c>
      <c r="D57" s="502">
        <f>+$D$54/$D$55*100</f>
        <v>11.409285651880124</v>
      </c>
      <c r="E57" s="502">
        <f>+$D$54/$D$55*100</f>
        <v>11.409285651880124</v>
      </c>
    </row>
    <row r="58" spans="2:5" ht="30" x14ac:dyDescent="0.25">
      <c r="B58" s="10" t="s">
        <v>441</v>
      </c>
      <c r="C58" s="9" t="s">
        <v>442</v>
      </c>
      <c r="D58" s="502">
        <f t="shared" ref="D58:E59" si="0">+$D$54/$D$55*100</f>
        <v>11.409285651880124</v>
      </c>
      <c r="E58" s="502">
        <f t="shared" si="0"/>
        <v>11.409285651880124</v>
      </c>
    </row>
    <row r="59" spans="2:5" ht="30" x14ac:dyDescent="0.25">
      <c r="B59" s="10" t="s">
        <v>443</v>
      </c>
      <c r="C59" s="58" t="s">
        <v>444</v>
      </c>
      <c r="D59" s="502">
        <f t="shared" si="0"/>
        <v>11.409285651880124</v>
      </c>
      <c r="E59" s="502">
        <f t="shared" si="0"/>
        <v>11.409285651880124</v>
      </c>
    </row>
    <row r="60" spans="2:5" ht="15" x14ac:dyDescent="0.25">
      <c r="B60" s="10">
        <v>26</v>
      </c>
      <c r="C60" s="9" t="s">
        <v>445</v>
      </c>
      <c r="D60" s="502">
        <v>3</v>
      </c>
      <c r="E60" s="502">
        <v>3</v>
      </c>
    </row>
    <row r="61" spans="2:5" ht="30" x14ac:dyDescent="0.25">
      <c r="B61" s="10" t="s">
        <v>446</v>
      </c>
      <c r="C61" s="9" t="s">
        <v>58</v>
      </c>
      <c r="D61" s="498">
        <v>0</v>
      </c>
      <c r="E61" s="498">
        <v>0</v>
      </c>
    </row>
    <row r="62" spans="2:5" ht="15" x14ac:dyDescent="0.25">
      <c r="B62" s="10" t="s">
        <v>447</v>
      </c>
      <c r="C62" s="9" t="s">
        <v>448</v>
      </c>
      <c r="D62" s="498">
        <v>0</v>
      </c>
      <c r="E62" s="498">
        <v>0</v>
      </c>
    </row>
    <row r="63" spans="2:5" ht="15" x14ac:dyDescent="0.25">
      <c r="B63" s="10">
        <v>27</v>
      </c>
      <c r="C63" s="58" t="s">
        <v>51</v>
      </c>
      <c r="D63" s="498">
        <v>0</v>
      </c>
      <c r="E63" s="498">
        <v>0</v>
      </c>
    </row>
    <row r="64" spans="2:5" ht="15" x14ac:dyDescent="0.25">
      <c r="B64" s="31" t="s">
        <v>449</v>
      </c>
      <c r="C64" s="58" t="s">
        <v>49</v>
      </c>
      <c r="D64" s="502">
        <f>+D60+D61+D63</f>
        <v>3</v>
      </c>
      <c r="E64" s="502">
        <f>+E60+E61+E63</f>
        <v>3</v>
      </c>
    </row>
    <row r="65" spans="2:13" ht="15" x14ac:dyDescent="0.25">
      <c r="B65" s="1003" t="s">
        <v>450</v>
      </c>
      <c r="C65" s="1004"/>
      <c r="D65" s="1004"/>
      <c r="E65" s="1005"/>
    </row>
    <row r="66" spans="2:13" ht="15" x14ac:dyDescent="0.25">
      <c r="B66" s="31" t="s">
        <v>451</v>
      </c>
      <c r="C66" s="58" t="s">
        <v>452</v>
      </c>
      <c r="D66" s="126">
        <v>0</v>
      </c>
      <c r="E66" s="126">
        <v>0</v>
      </c>
      <c r="M66" s="32"/>
    </row>
    <row r="67" spans="2:13" ht="15" x14ac:dyDescent="0.25">
      <c r="B67" s="1006" t="s">
        <v>453</v>
      </c>
      <c r="C67" s="1007"/>
      <c r="D67" s="1007"/>
      <c r="E67" s="1008"/>
    </row>
    <row r="68" spans="2:13" ht="45" x14ac:dyDescent="0.25">
      <c r="B68" s="10">
        <v>28</v>
      </c>
      <c r="C68" s="9" t="s">
        <v>454</v>
      </c>
      <c r="D68" s="128">
        <v>0</v>
      </c>
      <c r="E68" s="128">
        <v>0</v>
      </c>
      <c r="M68" s="125"/>
    </row>
    <row r="69" spans="2:13" ht="45" x14ac:dyDescent="0.25">
      <c r="B69" s="10">
        <v>29</v>
      </c>
      <c r="C69" s="9" t="s">
        <v>455</v>
      </c>
      <c r="D69" s="128">
        <f>+D29+D30</f>
        <v>0</v>
      </c>
      <c r="E69" s="128">
        <f>+E29+E30</f>
        <v>0</v>
      </c>
      <c r="M69" s="125"/>
    </row>
    <row r="70" spans="2:13" ht="75" x14ac:dyDescent="0.25">
      <c r="B70" s="31">
        <v>30</v>
      </c>
      <c r="C70" s="58" t="s">
        <v>456</v>
      </c>
      <c r="D70" s="126">
        <f>+D55-D69-D68</f>
        <v>10850676</v>
      </c>
      <c r="E70" s="126">
        <f>+E55-E69-E68</f>
        <v>9971409</v>
      </c>
      <c r="M70" s="32"/>
    </row>
    <row r="71" spans="2:13" ht="75" x14ac:dyDescent="0.25">
      <c r="B71" s="31" t="s">
        <v>457</v>
      </c>
      <c r="C71" s="58" t="s">
        <v>458</v>
      </c>
      <c r="D71" s="126">
        <f>+D55-D69+D68-'8'!D10</f>
        <v>10850676</v>
      </c>
      <c r="E71" s="126">
        <f>+E55-E69+E68-'8'!E10</f>
        <v>9971409</v>
      </c>
      <c r="M71" s="32"/>
    </row>
    <row r="72" spans="2:13" ht="75" x14ac:dyDescent="0.25">
      <c r="B72" s="10">
        <v>31</v>
      </c>
      <c r="C72" s="9" t="s">
        <v>459</v>
      </c>
      <c r="D72" s="151">
        <f>+D54/D70*100</f>
        <v>11.409285651880124</v>
      </c>
      <c r="E72" s="151">
        <f>+E54/E70*100</f>
        <v>11.484596750569553</v>
      </c>
      <c r="M72" s="125"/>
    </row>
    <row r="73" spans="2:13" ht="75" x14ac:dyDescent="0.25">
      <c r="B73" s="10" t="s">
        <v>460</v>
      </c>
      <c r="C73" s="9" t="s">
        <v>461</v>
      </c>
      <c r="D73" s="151">
        <f>+D54/D71*100</f>
        <v>11.409285651880124</v>
      </c>
      <c r="E73" s="151">
        <f>+E54/E71*100</f>
        <v>11.484596750569553</v>
      </c>
      <c r="M73" s="125"/>
    </row>
  </sheetData>
  <mergeCells count="11">
    <mergeCell ref="B36:E36"/>
    <mergeCell ref="D5:E5"/>
    <mergeCell ref="B6:C7"/>
    <mergeCell ref="B8:E8"/>
    <mergeCell ref="B16:E16"/>
    <mergeCell ref="B28:E28"/>
    <mergeCell ref="B41:E41"/>
    <mergeCell ref="B53:E53"/>
    <mergeCell ref="B56:E56"/>
    <mergeCell ref="B65:E65"/>
    <mergeCell ref="B67:E67"/>
  </mergeCells>
  <hyperlinks>
    <hyperlink ref="B2" location="Indhold!B15" display="Skema EU LR2 - LRCom Oplysninger om gearingsgrad — fælles regler" xr:uid="{2CD97A45-9591-452A-B5EE-71D9690125D6}"/>
  </hyperlinks>
  <pageMargins left="0.70866141732283472" right="0.70866141732283472" top="0.74803149606299213" bottom="0.74803149606299213" header="0.31496062992125984" footer="0.31496062992125984"/>
  <pageSetup paperSize="9" fitToHeight="0" orientation="landscape" verticalDpi="1200" r:id="rId1"/>
  <headerFooter>
    <oddHeader>&amp;CDA 
Bilag XI</oddHeader>
    <oddFooter>&amp;C1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97DC8-A496-47A1-9776-F5A28BE4B312}">
  <dimension ref="B2:F18"/>
  <sheetViews>
    <sheetView showGridLines="0" zoomScaleNormal="100" workbookViewId="0">
      <selection activeCell="F1" sqref="F1"/>
    </sheetView>
  </sheetViews>
  <sheetFormatPr defaultColWidth="9.140625" defaultRowHeight="15" x14ac:dyDescent="0.25"/>
  <cols>
    <col min="3" max="3" width="106.28515625" customWidth="1"/>
    <col min="4" max="4" width="34.85546875" customWidth="1"/>
  </cols>
  <sheetData>
    <row r="2" spans="2:6" ht="18.75" customHeight="1" x14ac:dyDescent="0.3">
      <c r="B2" s="866" t="s">
        <v>462</v>
      </c>
      <c r="C2" s="416"/>
      <c r="D2" s="416"/>
    </row>
    <row r="3" spans="2:6" ht="15" customHeight="1" x14ac:dyDescent="0.3">
      <c r="B3" s="416"/>
      <c r="C3" s="416"/>
    </row>
    <row r="4" spans="2:6" ht="15" customHeight="1" x14ac:dyDescent="0.3">
      <c r="B4" s="452"/>
      <c r="C4" s="452"/>
      <c r="D4" s="452"/>
    </row>
    <row r="5" spans="2:6" x14ac:dyDescent="0.25">
      <c r="B5" s="805"/>
      <c r="C5" s="807"/>
      <c r="D5" s="804" t="s">
        <v>1423</v>
      </c>
    </row>
    <row r="6" spans="2:6" ht="30" x14ac:dyDescent="0.25">
      <c r="B6" s="806"/>
      <c r="C6" s="808"/>
      <c r="D6" s="804" t="s">
        <v>375</v>
      </c>
    </row>
    <row r="7" spans="2:6" x14ac:dyDescent="0.25">
      <c r="B7" s="503" t="s">
        <v>463</v>
      </c>
      <c r="C7" s="503" t="s">
        <v>464</v>
      </c>
      <c r="D7" s="504">
        <f>+D8+D9</f>
        <v>9666959</v>
      </c>
    </row>
    <row r="8" spans="2:6" x14ac:dyDescent="0.25">
      <c r="B8" s="137" t="s">
        <v>465</v>
      </c>
      <c r="C8" s="152" t="s">
        <v>466</v>
      </c>
      <c r="D8" s="126">
        <v>3406674</v>
      </c>
    </row>
    <row r="9" spans="2:6" x14ac:dyDescent="0.25">
      <c r="B9" s="137" t="s">
        <v>467</v>
      </c>
      <c r="C9" s="152" t="s">
        <v>468</v>
      </c>
      <c r="D9" s="153">
        <f>+D10+D11+D12+D13+D14+D15+D16+D17+D18</f>
        <v>6260285</v>
      </c>
      <c r="F9" s="353"/>
    </row>
    <row r="10" spans="2:6" x14ac:dyDescent="0.25">
      <c r="B10" s="137" t="s">
        <v>469</v>
      </c>
      <c r="C10" s="152" t="s">
        <v>470</v>
      </c>
      <c r="D10" s="153">
        <v>0</v>
      </c>
    </row>
    <row r="11" spans="2:6" x14ac:dyDescent="0.25">
      <c r="B11" s="137" t="s">
        <v>471</v>
      </c>
      <c r="C11" s="152" t="s">
        <v>472</v>
      </c>
      <c r="D11" s="153">
        <v>770405</v>
      </c>
    </row>
    <row r="12" spans="2:6" ht="30" x14ac:dyDescent="0.25">
      <c r="B12" s="137" t="s">
        <v>473</v>
      </c>
      <c r="C12" s="154" t="s">
        <v>474</v>
      </c>
      <c r="D12" s="153">
        <v>0</v>
      </c>
    </row>
    <row r="13" spans="2:6" x14ac:dyDescent="0.25">
      <c r="B13" s="137" t="s">
        <v>475</v>
      </c>
      <c r="C13" s="152" t="s">
        <v>476</v>
      </c>
      <c r="D13" s="153">
        <v>142836</v>
      </c>
    </row>
    <row r="14" spans="2:6" x14ac:dyDescent="0.25">
      <c r="B14" s="137" t="s">
        <v>477</v>
      </c>
      <c r="C14" s="152" t="s">
        <v>478</v>
      </c>
      <c r="D14" s="153">
        <v>1200121</v>
      </c>
    </row>
    <row r="15" spans="2:6" x14ac:dyDescent="0.25">
      <c r="B15" s="137" t="s">
        <v>479</v>
      </c>
      <c r="C15" s="152" t="s">
        <v>480</v>
      </c>
      <c r="D15" s="153">
        <f>1311169+6553</f>
        <v>1317722</v>
      </c>
    </row>
    <row r="16" spans="2:6" x14ac:dyDescent="0.25">
      <c r="B16" s="137" t="s">
        <v>481</v>
      </c>
      <c r="C16" s="154" t="s">
        <v>482</v>
      </c>
      <c r="D16" s="153">
        <v>1280387</v>
      </c>
    </row>
    <row r="17" spans="2:4" x14ac:dyDescent="0.25">
      <c r="B17" s="137" t="s">
        <v>483</v>
      </c>
      <c r="C17" s="152" t="s">
        <v>484</v>
      </c>
      <c r="D17" s="153">
        <v>242118</v>
      </c>
    </row>
    <row r="18" spans="2:4" x14ac:dyDescent="0.25">
      <c r="B18" s="137" t="s">
        <v>485</v>
      </c>
      <c r="C18" s="152" t="s">
        <v>486</v>
      </c>
      <c r="D18" s="153">
        <v>1306696</v>
      </c>
    </row>
  </sheetData>
  <hyperlinks>
    <hyperlink ref="B2" location="Indhold!B16" display="Skema EU LR3 - LRSpl: Opdeling af balanceførte eksponeringer (ekskl. derivater, SFT'er og ikke medregnede eksponeringer)" xr:uid="{914E9381-12CF-4ED6-B9AA-DF39B7018DC6}"/>
  </hyperlinks>
  <pageMargins left="0.70866141732283472" right="0.70866141732283472" top="0.74803149606299213" bottom="0.74803149606299213" header="0.31496062992125984" footer="0.31496062992125984"/>
  <pageSetup paperSize="9" orientation="landscape" verticalDpi="1200" r:id="rId1"/>
  <headerFooter>
    <oddHeader>&amp;CDA 
Bilag XI</oddHeader>
    <oddFooter>&amp;C1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0D3AF-1543-44FB-A037-DEF7B736506F}">
  <dimension ref="A2:K47"/>
  <sheetViews>
    <sheetView showGridLines="0" zoomScaleNormal="100" workbookViewId="0">
      <selection activeCell="F1" sqref="F1"/>
    </sheetView>
  </sheetViews>
  <sheetFormatPr defaultColWidth="9.140625" defaultRowHeight="15" x14ac:dyDescent="0.25"/>
  <cols>
    <col min="1" max="1" width="6.42578125" customWidth="1"/>
    <col min="2" max="2" width="10.28515625" customWidth="1"/>
    <col min="3" max="3" width="55.140625" customWidth="1"/>
    <col min="4" max="4" width="11" bestFit="1" customWidth="1"/>
    <col min="5" max="5" width="10.140625" customWidth="1"/>
    <col min="6" max="11" width="11" bestFit="1" customWidth="1"/>
  </cols>
  <sheetData>
    <row r="2" spans="1:11" ht="18.75" x14ac:dyDescent="0.3">
      <c r="B2" s="416" t="s">
        <v>487</v>
      </c>
    </row>
    <row r="3" spans="1:11" ht="15" customHeight="1" x14ac:dyDescent="0.25">
      <c r="A3" s="155"/>
    </row>
    <row r="4" spans="1:11" ht="15" customHeight="1" x14ac:dyDescent="0.25">
      <c r="A4" s="155"/>
      <c r="C4" s="156"/>
    </row>
    <row r="5" spans="1:11" x14ac:dyDescent="0.25">
      <c r="B5" s="1039" t="s">
        <v>1423</v>
      </c>
      <c r="C5" s="1040"/>
      <c r="D5" s="506" t="s">
        <v>103</v>
      </c>
      <c r="E5" s="506" t="s">
        <v>102</v>
      </c>
      <c r="F5" s="506" t="s">
        <v>97</v>
      </c>
      <c r="G5" s="506" t="s">
        <v>96</v>
      </c>
      <c r="H5" s="506" t="s">
        <v>95</v>
      </c>
      <c r="I5" s="506" t="s">
        <v>111</v>
      </c>
      <c r="J5" s="506" t="s">
        <v>112</v>
      </c>
      <c r="K5" s="506" t="s">
        <v>164</v>
      </c>
    </row>
    <row r="6" spans="1:11" x14ac:dyDescent="0.25">
      <c r="B6" s="1041"/>
      <c r="C6" s="1042"/>
      <c r="D6" s="971" t="s">
        <v>488</v>
      </c>
      <c r="E6" s="971"/>
      <c r="F6" s="971"/>
      <c r="G6" s="971"/>
      <c r="H6" s="971" t="s">
        <v>489</v>
      </c>
      <c r="I6" s="971"/>
      <c r="J6" s="971"/>
      <c r="K6" s="971"/>
    </row>
    <row r="7" spans="1:11" ht="30" x14ac:dyDescent="0.25">
      <c r="B7" s="466" t="s">
        <v>490</v>
      </c>
      <c r="C7" s="466" t="s">
        <v>491</v>
      </c>
      <c r="D7" s="464" t="s">
        <v>1589</v>
      </c>
      <c r="E7" s="464" t="s">
        <v>1590</v>
      </c>
      <c r="F7" s="464" t="s">
        <v>1591</v>
      </c>
      <c r="G7" s="464" t="s">
        <v>1592</v>
      </c>
      <c r="H7" s="464" t="s">
        <v>1589</v>
      </c>
      <c r="I7" s="464" t="s">
        <v>1590</v>
      </c>
      <c r="J7" s="464" t="s">
        <v>1591</v>
      </c>
      <c r="K7" s="464" t="s">
        <v>1592</v>
      </c>
    </row>
    <row r="8" spans="1:11" ht="30" x14ac:dyDescent="0.25">
      <c r="B8" s="466" t="s">
        <v>492</v>
      </c>
      <c r="C8" s="466" t="s">
        <v>493</v>
      </c>
      <c r="D8" s="507">
        <v>12</v>
      </c>
      <c r="E8" s="507">
        <v>12</v>
      </c>
      <c r="F8" s="507">
        <v>12</v>
      </c>
      <c r="G8" s="507">
        <v>12</v>
      </c>
      <c r="H8" s="507">
        <v>12</v>
      </c>
      <c r="I8" s="507">
        <v>12</v>
      </c>
      <c r="J8" s="507">
        <v>12</v>
      </c>
      <c r="K8" s="507">
        <v>12</v>
      </c>
    </row>
    <row r="9" spans="1:11" x14ac:dyDescent="0.25">
      <c r="B9" s="1032" t="s">
        <v>494</v>
      </c>
      <c r="C9" s="1033"/>
      <c r="D9" s="1033"/>
      <c r="E9" s="1033"/>
      <c r="F9" s="1033"/>
      <c r="G9" s="1033"/>
      <c r="H9" s="1033"/>
      <c r="I9" s="1033"/>
      <c r="J9" s="1033"/>
      <c r="K9" s="1034"/>
    </row>
    <row r="10" spans="1:11" x14ac:dyDescent="0.25">
      <c r="B10" s="140">
        <v>1</v>
      </c>
      <c r="C10" s="137" t="s">
        <v>495</v>
      </c>
      <c r="D10" s="1035"/>
      <c r="E10" s="1035"/>
      <c r="F10" s="1035"/>
      <c r="G10" s="1035"/>
      <c r="H10" s="157">
        <f>3757403336/1000</f>
        <v>3757403.3360000001</v>
      </c>
      <c r="I10" s="157">
        <f>3614581162/1000</f>
        <v>3614581.162</v>
      </c>
      <c r="J10" s="157">
        <f>3642685884/1000</f>
        <v>3642685.8840000001</v>
      </c>
      <c r="K10" s="157">
        <f>3083769500/1000</f>
        <v>3083769.5</v>
      </c>
    </row>
    <row r="11" spans="1:11" x14ac:dyDescent="0.25">
      <c r="B11" s="1036" t="s">
        <v>496</v>
      </c>
      <c r="C11" s="1037"/>
      <c r="D11" s="1037"/>
      <c r="E11" s="1037"/>
      <c r="F11" s="1037"/>
      <c r="G11" s="1037"/>
      <c r="H11" s="1037"/>
      <c r="I11" s="1037"/>
      <c r="J11" s="1037"/>
      <c r="K11" s="1038"/>
    </row>
    <row r="12" spans="1:11" x14ac:dyDescent="0.25">
      <c r="B12" s="140">
        <v>2</v>
      </c>
      <c r="C12" s="137" t="s">
        <v>497</v>
      </c>
      <c r="D12" s="157">
        <f>6539329544/1000</f>
        <v>6539329.5439999998</v>
      </c>
      <c r="E12" s="157">
        <f>6466431077/1000</f>
        <v>6466431.0769999996</v>
      </c>
      <c r="F12" s="157">
        <f>6426627103/1000</f>
        <v>6426627.1030000001</v>
      </c>
      <c r="G12" s="157">
        <f>6160377146/1000</f>
        <v>6160377.1459999997</v>
      </c>
      <c r="H12" s="157">
        <f>392016422/1000</f>
        <v>392016.42200000002</v>
      </c>
      <c r="I12" s="157">
        <f>471637216/1000</f>
        <v>471637.21600000001</v>
      </c>
      <c r="J12" s="157">
        <f>395679690/1000</f>
        <v>395679.69</v>
      </c>
      <c r="K12" s="157">
        <f>311078961/1000</f>
        <v>311078.96100000001</v>
      </c>
    </row>
    <row r="13" spans="1:11" x14ac:dyDescent="0.25">
      <c r="B13" s="140">
        <v>3</v>
      </c>
      <c r="C13" s="158" t="s">
        <v>498</v>
      </c>
      <c r="D13" s="157">
        <f>3837711336/1000</f>
        <v>3837711.3360000001</v>
      </c>
      <c r="E13" s="157">
        <f>3737826221/1000</f>
        <v>3737826.2209999999</v>
      </c>
      <c r="F13" s="157">
        <f>4504915903/1000</f>
        <v>4504915.9029999999</v>
      </c>
      <c r="G13" s="157">
        <f>3538600635/1000</f>
        <v>3538600.6349999998</v>
      </c>
      <c r="H13" s="157">
        <f>191885566/1000</f>
        <v>191885.56599999999</v>
      </c>
      <c r="I13" s="157">
        <f>186891311/1000</f>
        <v>186891.31099999999</v>
      </c>
      <c r="J13" s="157">
        <f>225245795/1000</f>
        <v>225245.79500000001</v>
      </c>
      <c r="K13" s="157">
        <f>176930032/1000</f>
        <v>176930.03200000001</v>
      </c>
    </row>
    <row r="14" spans="1:11" x14ac:dyDescent="0.25">
      <c r="B14" s="140">
        <v>4</v>
      </c>
      <c r="C14" s="158" t="s">
        <v>499</v>
      </c>
      <c r="D14" s="157">
        <f>(315805253+928487388)/1000</f>
        <v>1244292.6410000001</v>
      </c>
      <c r="E14" s="157">
        <f>(278260455+923608101)/1000</f>
        <v>1201868.5560000001</v>
      </c>
      <c r="F14" s="157">
        <f>(265483786+892563213)/1000</f>
        <v>1158046.9990000001</v>
      </c>
      <c r="G14" s="157">
        <f>(322768529+857333919)/1000</f>
        <v>1180102.4480000001</v>
      </c>
      <c r="H14" s="157">
        <f>(47370788+92848738)/1000</f>
        <v>140219.52600000001</v>
      </c>
      <c r="I14" s="157">
        <f>(41739068+92360810)/1000</f>
        <v>134099.878</v>
      </c>
      <c r="J14" s="157">
        <f>(39822568+89256321)/1000</f>
        <v>129078.889</v>
      </c>
      <c r="K14" s="157">
        <f>(48415279+85733392)/1000</f>
        <v>134148.671</v>
      </c>
    </row>
    <row r="15" spans="1:11" x14ac:dyDescent="0.25">
      <c r="B15" s="140">
        <v>5</v>
      </c>
      <c r="C15" s="137" t="s">
        <v>500</v>
      </c>
      <c r="D15" s="157">
        <f>1465482652/1000</f>
        <v>1465482.652</v>
      </c>
      <c r="E15" s="157">
        <f>1262278932/1000</f>
        <v>1262278.932</v>
      </c>
      <c r="F15" s="157">
        <f>1469949162/1000</f>
        <v>1469949.162</v>
      </c>
      <c r="G15" s="157">
        <f>1175969072/1000</f>
        <v>1175969.0719999999</v>
      </c>
      <c r="H15" s="157">
        <f>708988679/1000</f>
        <v>708988.679</v>
      </c>
      <c r="I15" s="157">
        <f>628850347/1000</f>
        <v>628850.34699999995</v>
      </c>
      <c r="J15" s="157">
        <f>700831345/1000</f>
        <v>700831.34499999997</v>
      </c>
      <c r="K15" s="157">
        <f>564425121/1000</f>
        <v>564425.12100000004</v>
      </c>
    </row>
    <row r="16" spans="1:11" ht="30" x14ac:dyDescent="0.25">
      <c r="B16" s="140">
        <v>6</v>
      </c>
      <c r="C16" s="158" t="s">
        <v>501</v>
      </c>
      <c r="D16" s="157">
        <v>0</v>
      </c>
      <c r="E16" s="157">
        <v>0</v>
      </c>
      <c r="F16" s="157">
        <v>0</v>
      </c>
      <c r="G16" s="157">
        <v>0</v>
      </c>
      <c r="H16" s="157">
        <v>0</v>
      </c>
      <c r="I16" s="157">
        <v>0</v>
      </c>
      <c r="J16" s="157">
        <v>0</v>
      </c>
      <c r="K16" s="157">
        <v>0</v>
      </c>
    </row>
    <row r="17" spans="2:11" x14ac:dyDescent="0.25">
      <c r="B17" s="140">
        <v>7</v>
      </c>
      <c r="C17" s="158" t="s">
        <v>502</v>
      </c>
      <c r="D17" s="870">
        <f>1465482652/1000</f>
        <v>1465482.652</v>
      </c>
      <c r="E17" s="917">
        <f>1262278932/1000</f>
        <v>1262278.932</v>
      </c>
      <c r="F17" s="917">
        <f>1469949162/1000</f>
        <v>1469949.162</v>
      </c>
      <c r="G17" s="917">
        <f>1175969072/1000</f>
        <v>1175969.0719999999</v>
      </c>
      <c r="H17" s="909">
        <f>708988679/1000</f>
        <v>708988.679</v>
      </c>
      <c r="I17" s="917">
        <f>628850347/1000</f>
        <v>628850.34699999995</v>
      </c>
      <c r="J17" s="917">
        <f>700831345/1000</f>
        <v>700831.34499999997</v>
      </c>
      <c r="K17" s="917">
        <f>564425121/1000</f>
        <v>564425.12100000004</v>
      </c>
    </row>
    <row r="18" spans="2:11" x14ac:dyDescent="0.25">
      <c r="B18" s="140">
        <v>8</v>
      </c>
      <c r="C18" s="158" t="s">
        <v>503</v>
      </c>
      <c r="D18" s="157">
        <v>0</v>
      </c>
      <c r="E18" s="157">
        <v>0</v>
      </c>
      <c r="F18" s="157">
        <v>0</v>
      </c>
      <c r="G18" s="157">
        <v>0</v>
      </c>
      <c r="H18" s="157">
        <v>0</v>
      </c>
      <c r="I18" s="157">
        <v>0</v>
      </c>
      <c r="J18" s="157">
        <v>0</v>
      </c>
      <c r="K18" s="157">
        <v>0</v>
      </c>
    </row>
    <row r="19" spans="2:11" x14ac:dyDescent="0.25">
      <c r="B19" s="140">
        <v>9</v>
      </c>
      <c r="C19" s="158" t="s">
        <v>504</v>
      </c>
      <c r="D19" s="1031"/>
      <c r="E19" s="1031"/>
      <c r="F19" s="1031"/>
      <c r="G19" s="1031"/>
      <c r="H19" s="159">
        <v>0</v>
      </c>
      <c r="I19" s="159">
        <v>0</v>
      </c>
      <c r="J19" s="159">
        <v>0</v>
      </c>
      <c r="K19" s="159">
        <v>0</v>
      </c>
    </row>
    <row r="20" spans="2:11" x14ac:dyDescent="0.25">
      <c r="B20" s="140">
        <v>10</v>
      </c>
      <c r="C20" s="137" t="s">
        <v>505</v>
      </c>
      <c r="D20" s="157">
        <f>(33854+2625242843)/1000</f>
        <v>2625276.6970000002</v>
      </c>
      <c r="E20" s="157">
        <f>(72409+2595281784)/1000</f>
        <v>2595354.193</v>
      </c>
      <c r="F20" s="157">
        <f>(496+2518992354)/1000</f>
        <v>2518992.85</v>
      </c>
      <c r="G20" s="157">
        <f>(581577+2605922309)/1000</f>
        <v>2606503.8859999999</v>
      </c>
      <c r="H20" s="157">
        <f>(33854+162920206)/1000</f>
        <v>162954.06</v>
      </c>
      <c r="I20" s="157">
        <f>(72409+160257218)/1000</f>
        <v>160329.62700000001</v>
      </c>
      <c r="J20" s="157">
        <f>(496+237905853)/1000</f>
        <v>237906.34899999999</v>
      </c>
      <c r="K20" s="157">
        <f>(581577+178696116)/1000</f>
        <v>179277.693</v>
      </c>
    </row>
    <row r="21" spans="2:11" ht="30" x14ac:dyDescent="0.25">
      <c r="B21" s="140">
        <v>11</v>
      </c>
      <c r="C21" s="158" t="s">
        <v>506</v>
      </c>
      <c r="D21" s="157">
        <f>33854/1000</f>
        <v>33.853999999999999</v>
      </c>
      <c r="E21" s="157">
        <f>72409/1000</f>
        <v>72.409000000000006</v>
      </c>
      <c r="F21" s="157">
        <v>0.496</v>
      </c>
      <c r="G21" s="157">
        <f>581577/1000</f>
        <v>581.577</v>
      </c>
      <c r="H21" s="157">
        <f>33854/1000</f>
        <v>33.853999999999999</v>
      </c>
      <c r="I21" s="157">
        <f>72409/1000</f>
        <v>72.409000000000006</v>
      </c>
      <c r="J21" s="157">
        <v>0.496</v>
      </c>
      <c r="K21" s="157">
        <f>581577/1000</f>
        <v>581.577</v>
      </c>
    </row>
    <row r="22" spans="2:11" ht="30" x14ac:dyDescent="0.25">
      <c r="B22" s="140">
        <v>12</v>
      </c>
      <c r="C22" s="158" t="s">
        <v>507</v>
      </c>
      <c r="D22" s="157">
        <v>0</v>
      </c>
      <c r="E22" s="157">
        <v>0</v>
      </c>
      <c r="F22" s="157">
        <v>0</v>
      </c>
      <c r="G22" s="157">
        <v>0</v>
      </c>
      <c r="H22" s="157">
        <v>0</v>
      </c>
      <c r="I22" s="157">
        <v>0</v>
      </c>
      <c r="J22" s="157">
        <v>0</v>
      </c>
      <c r="K22" s="157">
        <v>0</v>
      </c>
    </row>
    <row r="23" spans="2:11" x14ac:dyDescent="0.25">
      <c r="B23" s="140">
        <v>13</v>
      </c>
      <c r="C23" s="158" t="s">
        <v>508</v>
      </c>
      <c r="D23" s="157">
        <f>2625242843/1000</f>
        <v>2625242.8429999999</v>
      </c>
      <c r="E23" s="870">
        <f>2595281784/1000</f>
        <v>2595281.784</v>
      </c>
      <c r="F23" s="157">
        <f>2518992354/1000</f>
        <v>2518992.3539999998</v>
      </c>
      <c r="G23" s="870">
        <f>2605922309/1000</f>
        <v>2605922.3089999999</v>
      </c>
      <c r="H23" s="157">
        <f>162920206/1000</f>
        <v>162920.20600000001</v>
      </c>
      <c r="I23" s="870">
        <f>160257218/1000</f>
        <v>160257.21799999999</v>
      </c>
      <c r="J23" s="157">
        <f>237905853/1000</f>
        <v>237905.853</v>
      </c>
      <c r="K23" s="870">
        <f>178696116/1000</f>
        <v>178696.11600000001</v>
      </c>
    </row>
    <row r="24" spans="2:11" x14ac:dyDescent="0.25">
      <c r="B24" s="140">
        <v>14</v>
      </c>
      <c r="C24" s="137" t="s">
        <v>509</v>
      </c>
      <c r="D24" s="157">
        <f>30150262/1000</f>
        <v>30150.261999999999</v>
      </c>
      <c r="E24" s="157">
        <f>85055184/1000</f>
        <v>85055.183999999994</v>
      </c>
      <c r="F24" s="157">
        <f>39705048/1000</f>
        <v>39705.048000000003</v>
      </c>
      <c r="G24" s="157">
        <f>36680973/1000</f>
        <v>36680.972999999998</v>
      </c>
      <c r="H24" s="157">
        <f>30150262/1000</f>
        <v>30150.261999999999</v>
      </c>
      <c r="I24" s="157">
        <f>85055184/1000</f>
        <v>85055.183999999994</v>
      </c>
      <c r="J24" s="157">
        <f>39704048/1000</f>
        <v>39704.048000000003</v>
      </c>
      <c r="K24" s="157">
        <f>36680973/1000</f>
        <v>36680.972999999998</v>
      </c>
    </row>
    <row r="25" spans="2:11" x14ac:dyDescent="0.25">
      <c r="B25" s="140">
        <v>15</v>
      </c>
      <c r="C25" s="137" t="s">
        <v>510</v>
      </c>
      <c r="D25" s="157">
        <v>0</v>
      </c>
      <c r="E25" s="157">
        <v>0</v>
      </c>
      <c r="F25" s="157">
        <v>0</v>
      </c>
      <c r="G25" s="157">
        <v>0</v>
      </c>
      <c r="H25" s="157">
        <v>0</v>
      </c>
      <c r="I25" s="157">
        <v>0</v>
      </c>
      <c r="J25" s="157">
        <v>0</v>
      </c>
      <c r="K25" s="157">
        <v>0</v>
      </c>
    </row>
    <row r="26" spans="2:11" x14ac:dyDescent="0.25">
      <c r="B26" s="140">
        <v>16</v>
      </c>
      <c r="C26" s="137" t="s">
        <v>511</v>
      </c>
      <c r="D26" s="1029"/>
      <c r="E26" s="1029"/>
      <c r="F26" s="1029"/>
      <c r="G26" s="1029"/>
      <c r="H26" s="157">
        <f>1294109426/1000</f>
        <v>1294109.426</v>
      </c>
      <c r="I26" s="157">
        <f>1345872376/1000</f>
        <v>1345872.3759999999</v>
      </c>
      <c r="J26" s="157">
        <f>1374121433/1000</f>
        <v>1374121.433</v>
      </c>
      <c r="K26" s="157">
        <f>1091462749/1000</f>
        <v>1091462.7490000001</v>
      </c>
    </row>
    <row r="27" spans="2:11" x14ac:dyDescent="0.25">
      <c r="B27" s="1030"/>
      <c r="C27" s="1030"/>
      <c r="D27" s="1030"/>
      <c r="E27" s="1030"/>
      <c r="F27" s="1030"/>
      <c r="G27" s="1030"/>
      <c r="H27" s="1030"/>
      <c r="I27" s="1030"/>
      <c r="J27" s="1030"/>
      <c r="K27" s="1030"/>
    </row>
    <row r="28" spans="2:11" x14ac:dyDescent="0.25">
      <c r="B28" s="140">
        <v>17</v>
      </c>
      <c r="C28" s="137" t="s">
        <v>512</v>
      </c>
      <c r="D28" s="157">
        <v>0</v>
      </c>
      <c r="E28" s="157">
        <v>0</v>
      </c>
      <c r="F28" s="157">
        <v>0</v>
      </c>
      <c r="G28" s="157">
        <v>0</v>
      </c>
      <c r="H28" s="157">
        <v>0</v>
      </c>
      <c r="I28" s="157">
        <v>0</v>
      </c>
      <c r="J28" s="157">
        <v>0</v>
      </c>
      <c r="K28" s="157">
        <v>0</v>
      </c>
    </row>
    <row r="29" spans="2:11" ht="30" x14ac:dyDescent="0.25">
      <c r="B29" s="140">
        <v>18</v>
      </c>
      <c r="C29" s="137" t="s">
        <v>513</v>
      </c>
      <c r="D29" s="157">
        <f>(8920593+105948297)/1000</f>
        <v>114868.89</v>
      </c>
      <c r="E29" s="157">
        <f>(8935098+101461159)/1000</f>
        <v>110396.257</v>
      </c>
      <c r="F29" s="157">
        <f>(8901724+140551939)/1000</f>
        <v>149453.663</v>
      </c>
      <c r="G29" s="157">
        <f>(13666583+109624313)/1000</f>
        <v>123290.89599999999</v>
      </c>
      <c r="H29" s="157">
        <f>(4460296+105948297)/1000</f>
        <v>110408.59299999999</v>
      </c>
      <c r="I29" s="157">
        <f>+(4467549+101461159)/1000</f>
        <v>105928.708</v>
      </c>
      <c r="J29" s="157">
        <f>(4450862+140551939)/1000</f>
        <v>145002.80100000001</v>
      </c>
      <c r="K29" s="157">
        <f>(6833291+109624313)/1000</f>
        <v>116457.60400000001</v>
      </c>
    </row>
    <row r="30" spans="2:11" x14ac:dyDescent="0.25">
      <c r="B30" s="140">
        <v>19</v>
      </c>
      <c r="C30" s="137" t="s">
        <v>514</v>
      </c>
      <c r="D30" s="157">
        <f>(119176775+807854265+1313508+30791269)/1000</f>
        <v>959135.81700000004</v>
      </c>
      <c r="E30" s="157">
        <f>+(866191895+103762977)/1000</f>
        <v>969954.87199999997</v>
      </c>
      <c r="F30" s="157">
        <f>(821682152+52812475+1055815+39569196)/1000</f>
        <v>915119.63800000004</v>
      </c>
      <c r="G30" s="157">
        <f>(924986000+856+56652642)/1000</f>
        <v>981639.49800000002</v>
      </c>
      <c r="H30" s="157">
        <f>(119176775+161570853+1313508+30791269)/1000</f>
        <v>312852.40500000003</v>
      </c>
      <c r="I30" s="157">
        <f>(173238379+103762977)/1000</f>
        <v>277001.35600000003</v>
      </c>
      <c r="J30" s="157">
        <f>(164336430+52812475+1055815+39569196)/1000</f>
        <v>257773.916</v>
      </c>
      <c r="K30" s="157">
        <f>(184997200+856+56652642)/1000</f>
        <v>241650.698</v>
      </c>
    </row>
    <row r="31" spans="2:11" x14ac:dyDescent="0.25">
      <c r="B31" s="1026" t="s">
        <v>515</v>
      </c>
      <c r="C31" s="1028" t="s">
        <v>516</v>
      </c>
      <c r="D31" s="1029"/>
      <c r="E31" s="1029"/>
      <c r="F31" s="1029"/>
      <c r="G31" s="1029"/>
      <c r="H31" s="1025">
        <v>0</v>
      </c>
      <c r="I31" s="1025">
        <v>0</v>
      </c>
      <c r="J31" s="1025">
        <v>0</v>
      </c>
      <c r="K31" s="1025">
        <v>0</v>
      </c>
    </row>
    <row r="32" spans="2:11" x14ac:dyDescent="0.25">
      <c r="B32" s="1026"/>
      <c r="C32" s="1028"/>
      <c r="D32" s="1029"/>
      <c r="E32" s="1029"/>
      <c r="F32" s="1029"/>
      <c r="G32" s="1029"/>
      <c r="H32" s="1025"/>
      <c r="I32" s="1025"/>
      <c r="J32" s="1025"/>
      <c r="K32" s="1025"/>
    </row>
    <row r="33" spans="2:11" x14ac:dyDescent="0.25">
      <c r="B33" s="1026" t="s">
        <v>517</v>
      </c>
      <c r="C33" s="1028" t="s">
        <v>518</v>
      </c>
      <c r="D33" s="1029"/>
      <c r="E33" s="1029"/>
      <c r="F33" s="1029"/>
      <c r="G33" s="1029"/>
      <c r="H33" s="1025">
        <v>0</v>
      </c>
      <c r="I33" s="1025">
        <v>0</v>
      </c>
      <c r="J33" s="1025">
        <v>0</v>
      </c>
      <c r="K33" s="1025">
        <v>0</v>
      </c>
    </row>
    <row r="34" spans="2:11" x14ac:dyDescent="0.25">
      <c r="B34" s="1026"/>
      <c r="C34" s="1028"/>
      <c r="D34" s="1029"/>
      <c r="E34" s="1029"/>
      <c r="F34" s="1029"/>
      <c r="G34" s="1029"/>
      <c r="H34" s="1025"/>
      <c r="I34" s="1025"/>
      <c r="J34" s="1025"/>
      <c r="K34" s="1025"/>
    </row>
    <row r="35" spans="2:11" x14ac:dyDescent="0.25">
      <c r="B35" s="140">
        <v>20</v>
      </c>
      <c r="C35" s="137" t="s">
        <v>519</v>
      </c>
      <c r="D35" s="157">
        <f>+D29+D30</f>
        <v>1074004.7069999999</v>
      </c>
      <c r="E35" s="157">
        <f t="shared" ref="E35:K35" si="0">+E29+E30</f>
        <v>1080351.129</v>
      </c>
      <c r="F35" s="157">
        <f t="shared" si="0"/>
        <v>1064573.301</v>
      </c>
      <c r="G35" s="157">
        <f t="shared" si="0"/>
        <v>1104930.3940000001</v>
      </c>
      <c r="H35" s="157">
        <f t="shared" si="0"/>
        <v>423260.99800000002</v>
      </c>
      <c r="I35" s="157">
        <f t="shared" si="0"/>
        <v>382930.06400000001</v>
      </c>
      <c r="J35" s="157">
        <f t="shared" si="0"/>
        <v>402776.717</v>
      </c>
      <c r="K35" s="157">
        <f t="shared" si="0"/>
        <v>358108.30200000003</v>
      </c>
    </row>
    <row r="36" spans="2:11" x14ac:dyDescent="0.25">
      <c r="B36" s="1026" t="s">
        <v>225</v>
      </c>
      <c r="C36" s="1027" t="s">
        <v>520</v>
      </c>
      <c r="D36" s="1025">
        <v>0</v>
      </c>
      <c r="E36" s="1025">
        <v>0</v>
      </c>
      <c r="F36" s="1025">
        <v>0</v>
      </c>
      <c r="G36" s="1025">
        <v>0</v>
      </c>
      <c r="H36" s="1025">
        <v>0</v>
      </c>
      <c r="I36" s="1025">
        <v>0</v>
      </c>
      <c r="J36" s="1025">
        <v>0</v>
      </c>
      <c r="K36" s="1025">
        <v>0</v>
      </c>
    </row>
    <row r="37" spans="2:11" x14ac:dyDescent="0.25">
      <c r="B37" s="1026"/>
      <c r="C37" s="1027"/>
      <c r="D37" s="1025"/>
      <c r="E37" s="1025"/>
      <c r="F37" s="1025"/>
      <c r="G37" s="1025"/>
      <c r="H37" s="1025"/>
      <c r="I37" s="1025"/>
      <c r="J37" s="1025"/>
      <c r="K37" s="1025"/>
    </row>
    <row r="38" spans="2:11" x14ac:dyDescent="0.25">
      <c r="B38" s="1026" t="s">
        <v>227</v>
      </c>
      <c r="C38" s="1027" t="s">
        <v>521</v>
      </c>
      <c r="D38" s="1025">
        <v>0</v>
      </c>
      <c r="E38" s="1025">
        <v>0</v>
      </c>
      <c r="F38" s="1025">
        <v>0</v>
      </c>
      <c r="G38" s="1025">
        <v>0</v>
      </c>
      <c r="H38" s="1025">
        <v>0</v>
      </c>
      <c r="I38" s="1025">
        <v>0</v>
      </c>
      <c r="J38" s="1025">
        <v>0</v>
      </c>
      <c r="K38" s="1025">
        <v>0</v>
      </c>
    </row>
    <row r="39" spans="2:11" x14ac:dyDescent="0.25">
      <c r="B39" s="1026"/>
      <c r="C39" s="1027"/>
      <c r="D39" s="1025"/>
      <c r="E39" s="1025"/>
      <c r="F39" s="1025"/>
      <c r="G39" s="1025"/>
      <c r="H39" s="1025"/>
      <c r="I39" s="1025"/>
      <c r="J39" s="1025"/>
      <c r="K39" s="1025"/>
    </row>
    <row r="40" spans="2:11" x14ac:dyDescent="0.25">
      <c r="B40" s="1026" t="s">
        <v>229</v>
      </c>
      <c r="C40" s="1027" t="s">
        <v>522</v>
      </c>
      <c r="D40" s="1025">
        <f>+D35</f>
        <v>1074004.7069999999</v>
      </c>
      <c r="E40" s="1025">
        <f>+E35</f>
        <v>1080351.129</v>
      </c>
      <c r="F40" s="1025">
        <f>+F35</f>
        <v>1064573.301</v>
      </c>
      <c r="G40" s="1025">
        <f t="shared" ref="G40:K40" si="1">+G35</f>
        <v>1104930.3940000001</v>
      </c>
      <c r="H40" s="1025">
        <f t="shared" si="1"/>
        <v>423260.99800000002</v>
      </c>
      <c r="I40" s="1025">
        <f t="shared" si="1"/>
        <v>382930.06400000001</v>
      </c>
      <c r="J40" s="1025">
        <f t="shared" si="1"/>
        <v>402776.717</v>
      </c>
      <c r="K40" s="1025">
        <f t="shared" si="1"/>
        <v>358108.30200000003</v>
      </c>
    </row>
    <row r="41" spans="2:11" x14ac:dyDescent="0.25">
      <c r="B41" s="1026"/>
      <c r="C41" s="1027"/>
      <c r="D41" s="1025"/>
      <c r="E41" s="1025"/>
      <c r="F41" s="1025"/>
      <c r="G41" s="1025"/>
      <c r="H41" s="1025"/>
      <c r="I41" s="1025"/>
      <c r="J41" s="1025"/>
      <c r="K41" s="1025"/>
    </row>
    <row r="42" spans="2:11" x14ac:dyDescent="0.25">
      <c r="B42" s="1021" t="s">
        <v>523</v>
      </c>
      <c r="C42" s="1022"/>
      <c r="D42" s="1022"/>
      <c r="E42" s="1022"/>
      <c r="F42" s="1022"/>
      <c r="G42" s="1022"/>
      <c r="H42" s="1022"/>
      <c r="I42" s="1022"/>
      <c r="J42" s="1022"/>
      <c r="K42" s="1023"/>
    </row>
    <row r="43" spans="2:11" x14ac:dyDescent="0.25">
      <c r="B43" s="160" t="s">
        <v>524</v>
      </c>
      <c r="C43" s="161" t="s">
        <v>525</v>
      </c>
      <c r="D43" s="1024"/>
      <c r="E43" s="1024"/>
      <c r="F43" s="1024"/>
      <c r="G43" s="1024"/>
      <c r="H43" s="162">
        <f>3614519482/1000</f>
        <v>3614519.4819999998</v>
      </c>
      <c r="I43" s="162">
        <f>2777828568/1000</f>
        <v>2777828.568</v>
      </c>
      <c r="J43" s="162">
        <f>3642685884/1000</f>
        <v>3642685.8840000001</v>
      </c>
      <c r="K43" s="162">
        <f>2883024768/1000</f>
        <v>2883024.7680000002</v>
      </c>
    </row>
    <row r="44" spans="2:11" x14ac:dyDescent="0.25">
      <c r="B44" s="160">
        <v>22</v>
      </c>
      <c r="C44" s="161" t="s">
        <v>526</v>
      </c>
      <c r="D44" s="1024"/>
      <c r="E44" s="1024"/>
      <c r="F44" s="1024"/>
      <c r="G44" s="1024"/>
      <c r="H44" s="162">
        <f>870848425/1000</f>
        <v>870848.42500000005</v>
      </c>
      <c r="I44" s="162">
        <f>962942279/1000</f>
        <v>962942.27899999998</v>
      </c>
      <c r="J44" s="162">
        <f>1135681144/1000</f>
        <v>1135681.1440000001</v>
      </c>
      <c r="K44" s="162">
        <f>733354446/1000</f>
        <v>733354.446</v>
      </c>
    </row>
    <row r="45" spans="2:11" x14ac:dyDescent="0.25">
      <c r="B45" s="160">
        <v>23</v>
      </c>
      <c r="C45" s="161" t="s">
        <v>527</v>
      </c>
      <c r="D45" s="1024"/>
      <c r="E45" s="1024"/>
      <c r="F45" s="1024"/>
      <c r="G45" s="1024"/>
      <c r="H45" s="163">
        <f>+H43/H44*100</f>
        <v>415.05724512276629</v>
      </c>
      <c r="I45" s="163">
        <f t="shared" ref="I45:K45" si="2">+I43/I44*100</f>
        <v>288.47300908676789</v>
      </c>
      <c r="J45" s="163">
        <f t="shared" si="2"/>
        <v>320.74899748445586</v>
      </c>
      <c r="K45" s="163">
        <f t="shared" si="2"/>
        <v>393.12842292361319</v>
      </c>
    </row>
    <row r="47" spans="2:11" x14ac:dyDescent="0.25">
      <c r="B47" s="90"/>
    </row>
  </sheetData>
  <mergeCells count="57">
    <mergeCell ref="D19:G19"/>
    <mergeCell ref="D6:G6"/>
    <mergeCell ref="H6:K6"/>
    <mergeCell ref="B9:K9"/>
    <mergeCell ref="D10:G10"/>
    <mergeCell ref="B11:K11"/>
    <mergeCell ref="B5:C6"/>
    <mergeCell ref="D26:G26"/>
    <mergeCell ref="B27:K27"/>
    <mergeCell ref="B31:B32"/>
    <mergeCell ref="C31:C32"/>
    <mergeCell ref="D31:G32"/>
    <mergeCell ref="H31:H32"/>
    <mergeCell ref="I31:I32"/>
    <mergeCell ref="J31:J32"/>
    <mergeCell ref="K31:K32"/>
    <mergeCell ref="K33:K34"/>
    <mergeCell ref="B36:B37"/>
    <mergeCell ref="C36:C37"/>
    <mergeCell ref="D36:D37"/>
    <mergeCell ref="E36:E37"/>
    <mergeCell ref="F36:F37"/>
    <mergeCell ref="G36:G37"/>
    <mergeCell ref="H36:H37"/>
    <mergeCell ref="I36:I37"/>
    <mergeCell ref="J36:J37"/>
    <mergeCell ref="B33:B34"/>
    <mergeCell ref="C33:C34"/>
    <mergeCell ref="D33:G34"/>
    <mergeCell ref="H33:H34"/>
    <mergeCell ref="I33:I34"/>
    <mergeCell ref="J33:J34"/>
    <mergeCell ref="K36:K37"/>
    <mergeCell ref="B38:B39"/>
    <mergeCell ref="C38:C39"/>
    <mergeCell ref="D38:D39"/>
    <mergeCell ref="E38:E39"/>
    <mergeCell ref="F38:F39"/>
    <mergeCell ref="G38:G39"/>
    <mergeCell ref="H38:H39"/>
    <mergeCell ref="I38:I39"/>
    <mergeCell ref="J38:J39"/>
    <mergeCell ref="K38:K39"/>
    <mergeCell ref="B42:K42"/>
    <mergeCell ref="D43:G43"/>
    <mergeCell ref="D44:G44"/>
    <mergeCell ref="D45:G45"/>
    <mergeCell ref="G40:G41"/>
    <mergeCell ref="H40:H41"/>
    <mergeCell ref="I40:I41"/>
    <mergeCell ref="J40:J41"/>
    <mergeCell ref="K40:K41"/>
    <mergeCell ref="B40:B41"/>
    <mergeCell ref="C40:C41"/>
    <mergeCell ref="D40:D41"/>
    <mergeCell ref="E40:E41"/>
    <mergeCell ref="F40:F41"/>
  </mergeCells>
  <hyperlinks>
    <hyperlink ref="B2" location="Indhold!B18" display="Skema EU LIQ1 - Kvantitative oplysninger om likviditetsdækningsgrad" xr:uid="{396FC578-8262-4E20-8D5D-FE3E6BC07548}"/>
  </hyperlinks>
  <pageMargins left="0.70866141732283472" right="0.70866141732283472" top="0.74803149606299213" bottom="0.74803149606299213" header="0.31496062992125984" footer="0.31496062992125984"/>
  <pageSetup paperSize="9" orientation="landscape" r:id="rId1"/>
  <headerFooter>
    <oddHeader>&amp;CDA
Bilag XIII</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6EDD5-7DCE-48F8-BFAD-BC1D75A9DA69}">
  <dimension ref="B2:J44"/>
  <sheetViews>
    <sheetView showGridLines="0" topLeftCell="A30" zoomScaleNormal="100" workbookViewId="0">
      <selection activeCell="F1" sqref="F1"/>
    </sheetView>
  </sheetViews>
  <sheetFormatPr defaultColWidth="9.140625" defaultRowHeight="15" x14ac:dyDescent="0.25"/>
  <cols>
    <col min="1" max="1" width="3.7109375" customWidth="1"/>
    <col min="3" max="3" width="39.28515625" customWidth="1"/>
    <col min="4" max="4" width="13.85546875" customWidth="1"/>
    <col min="5" max="5" width="16" customWidth="1"/>
    <col min="6" max="6" width="18.28515625" customWidth="1"/>
    <col min="7" max="7" width="12.5703125" customWidth="1"/>
    <col min="8" max="8" width="17.85546875" customWidth="1"/>
    <col min="9" max="9" width="16.85546875" customWidth="1"/>
    <col min="10" max="10" width="18.5703125" customWidth="1"/>
  </cols>
  <sheetData>
    <row r="2" spans="2:8" x14ac:dyDescent="0.25">
      <c r="B2" s="866" t="s">
        <v>528</v>
      </c>
    </row>
    <row r="3" spans="2:8" ht="15.75" x14ac:dyDescent="0.25">
      <c r="B3" s="164" t="s">
        <v>529</v>
      </c>
    </row>
    <row r="4" spans="2:8" s="88" customFormat="1" x14ac:dyDescent="0.25"/>
    <row r="5" spans="2:8" x14ac:dyDescent="0.25">
      <c r="B5" s="1048"/>
      <c r="C5" s="1049"/>
      <c r="D5" s="465" t="s">
        <v>103</v>
      </c>
      <c r="E5" s="465" t="s">
        <v>102</v>
      </c>
      <c r="F5" s="465" t="s">
        <v>97</v>
      </c>
      <c r="G5" s="465" t="s">
        <v>96</v>
      </c>
      <c r="H5" s="465" t="s">
        <v>95</v>
      </c>
    </row>
    <row r="6" spans="2:8" ht="15.75" customHeight="1" x14ac:dyDescent="0.25">
      <c r="B6" s="1050" t="s">
        <v>1423</v>
      </c>
      <c r="C6" s="1051"/>
      <c r="D6" s="1054" t="s">
        <v>530</v>
      </c>
      <c r="E6" s="1055"/>
      <c r="F6" s="1055"/>
      <c r="G6" s="1056"/>
      <c r="H6" s="1043" t="s">
        <v>531</v>
      </c>
    </row>
    <row r="7" spans="2:8" ht="15" customHeight="1" x14ac:dyDescent="0.25">
      <c r="B7" s="1052"/>
      <c r="C7" s="1053"/>
      <c r="D7" s="465" t="s">
        <v>532</v>
      </c>
      <c r="E7" s="465" t="s">
        <v>533</v>
      </c>
      <c r="F7" s="465" t="s">
        <v>534</v>
      </c>
      <c r="G7" s="465" t="s">
        <v>535</v>
      </c>
      <c r="H7" s="1044"/>
    </row>
    <row r="8" spans="2:8" x14ac:dyDescent="0.25">
      <c r="B8" s="508" t="s">
        <v>536</v>
      </c>
      <c r="C8" s="509"/>
      <c r="D8" s="509"/>
      <c r="E8" s="510"/>
      <c r="F8" s="509"/>
      <c r="G8" s="509"/>
      <c r="H8" s="511"/>
    </row>
    <row r="9" spans="2:8" x14ac:dyDescent="0.25">
      <c r="B9" s="512">
        <v>1</v>
      </c>
      <c r="C9" s="514" t="s">
        <v>537</v>
      </c>
      <c r="D9" s="515">
        <f>1237984620/1000</f>
        <v>1237984.6200000001</v>
      </c>
      <c r="E9" s="516">
        <v>0</v>
      </c>
      <c r="F9" s="516">
        <v>0</v>
      </c>
      <c r="G9" s="517">
        <v>0</v>
      </c>
      <c r="H9" s="517">
        <f>SUM(D9:G9)</f>
        <v>1237984.6200000001</v>
      </c>
    </row>
    <row r="10" spans="2:8" x14ac:dyDescent="0.25">
      <c r="B10" s="451">
        <v>2</v>
      </c>
      <c r="C10" s="518" t="s">
        <v>538</v>
      </c>
      <c r="D10" s="489">
        <f>+D9</f>
        <v>1237984.6200000001</v>
      </c>
      <c r="E10" s="489">
        <v>0</v>
      </c>
      <c r="F10" s="489">
        <v>0</v>
      </c>
      <c r="G10" s="56">
        <v>0</v>
      </c>
      <c r="H10" s="517">
        <f t="shared" ref="H10:H11" si="0">SUM(D10:G10)</f>
        <v>1237984.6200000001</v>
      </c>
    </row>
    <row r="11" spans="2:8" x14ac:dyDescent="0.25">
      <c r="B11" s="451">
        <v>3</v>
      </c>
      <c r="C11" s="518" t="s">
        <v>539</v>
      </c>
      <c r="D11" s="519"/>
      <c r="E11" s="489">
        <v>0</v>
      </c>
      <c r="F11" s="489">
        <v>0</v>
      </c>
      <c r="G11" s="56">
        <v>0</v>
      </c>
      <c r="H11" s="517">
        <f t="shared" si="0"/>
        <v>0</v>
      </c>
    </row>
    <row r="12" spans="2:8" x14ac:dyDescent="0.25">
      <c r="B12" s="513">
        <v>4</v>
      </c>
      <c r="C12" s="514" t="s">
        <v>540</v>
      </c>
      <c r="D12" s="519"/>
      <c r="E12" s="516">
        <f>+E14+E13</f>
        <v>6349577.79</v>
      </c>
      <c r="F12" s="516">
        <f t="shared" ref="F12:H12" si="1">+F14+F13</f>
        <v>189751.755</v>
      </c>
      <c r="G12" s="516">
        <f t="shared" si="1"/>
        <v>0</v>
      </c>
      <c r="H12" s="516">
        <f t="shared" si="1"/>
        <v>6138603.307</v>
      </c>
    </row>
    <row r="13" spans="2:8" x14ac:dyDescent="0.25">
      <c r="B13" s="451">
        <v>5</v>
      </c>
      <c r="C13" s="518" t="s">
        <v>498</v>
      </c>
      <c r="D13" s="519"/>
      <c r="E13" s="55">
        <f>4938942109/1000</f>
        <v>4938942.1090000002</v>
      </c>
      <c r="F13" s="55">
        <f>125192228/1000</f>
        <v>125192.228</v>
      </c>
      <c r="G13" s="56">
        <v>0</v>
      </c>
      <c r="H13" s="517">
        <f>4810927620/1000</f>
        <v>4810927.62</v>
      </c>
    </row>
    <row r="14" spans="2:8" x14ac:dyDescent="0.25">
      <c r="B14" s="451">
        <v>6</v>
      </c>
      <c r="C14" s="518" t="s">
        <v>499</v>
      </c>
      <c r="D14" s="519"/>
      <c r="E14" s="55">
        <f>1410635681/1000</f>
        <v>1410635.6810000001</v>
      </c>
      <c r="F14" s="55">
        <f>64559527/1000</f>
        <v>64559.527000000002</v>
      </c>
      <c r="G14" s="56">
        <v>0</v>
      </c>
      <c r="H14" s="517">
        <f>1327675687/1000</f>
        <v>1327675.6869999999</v>
      </c>
    </row>
    <row r="15" spans="2:8" x14ac:dyDescent="0.25">
      <c r="B15" s="513">
        <v>7</v>
      </c>
      <c r="C15" s="514" t="s">
        <v>541</v>
      </c>
      <c r="D15" s="519"/>
      <c r="E15" s="516">
        <f>+E16+E17</f>
        <v>1516089.3870000001</v>
      </c>
      <c r="F15" s="516">
        <f t="shared" ref="F15:H15" si="2">+F16+F17</f>
        <v>21667.414000000001</v>
      </c>
      <c r="G15" s="516">
        <f t="shared" si="2"/>
        <v>0</v>
      </c>
      <c r="H15" s="516">
        <f t="shared" si="2"/>
        <v>630482.64500000002</v>
      </c>
    </row>
    <row r="16" spans="2:8" x14ac:dyDescent="0.25">
      <c r="B16" s="451">
        <v>8</v>
      </c>
      <c r="C16" s="518" t="s">
        <v>542</v>
      </c>
      <c r="D16" s="519"/>
      <c r="E16" s="521">
        <v>0</v>
      </c>
      <c r="F16" s="55">
        <v>0</v>
      </c>
      <c r="G16" s="56">
        <v>0</v>
      </c>
      <c r="H16" s="517">
        <v>0</v>
      </c>
    </row>
    <row r="17" spans="2:9" x14ac:dyDescent="0.25">
      <c r="B17" s="451">
        <v>9</v>
      </c>
      <c r="C17" s="518" t="s">
        <v>543</v>
      </c>
      <c r="D17" s="519"/>
      <c r="E17" s="55">
        <f>(1239297877+276791510)/1000</f>
        <v>1516089.3870000001</v>
      </c>
      <c r="F17" s="55">
        <f>(21667414)/1000</f>
        <v>21667.414000000001</v>
      </c>
      <c r="G17" s="56">
        <v>0</v>
      </c>
      <c r="H17" s="517">
        <f>(630482645)/1000</f>
        <v>630482.64500000002</v>
      </c>
    </row>
    <row r="18" spans="2:9" x14ac:dyDescent="0.25">
      <c r="B18" s="513">
        <v>10</v>
      </c>
      <c r="C18" s="514" t="s">
        <v>544</v>
      </c>
      <c r="D18" s="519"/>
      <c r="E18" s="516">
        <v>0</v>
      </c>
      <c r="F18" s="516">
        <v>0</v>
      </c>
      <c r="G18" s="520">
        <v>0</v>
      </c>
      <c r="H18" s="517">
        <v>0</v>
      </c>
    </row>
    <row r="19" spans="2:9" x14ac:dyDescent="0.25">
      <c r="B19" s="513">
        <v>11</v>
      </c>
      <c r="C19" s="514" t="s">
        <v>545</v>
      </c>
      <c r="D19" s="516">
        <v>0</v>
      </c>
      <c r="E19" s="516">
        <f>35075036/1000</f>
        <v>35075.036</v>
      </c>
      <c r="F19" s="516">
        <v>0</v>
      </c>
      <c r="G19" s="520">
        <v>0</v>
      </c>
      <c r="H19" s="517">
        <v>0</v>
      </c>
    </row>
    <row r="20" spans="2:9" x14ac:dyDescent="0.25">
      <c r="B20" s="451">
        <v>12</v>
      </c>
      <c r="C20" s="518" t="s">
        <v>546</v>
      </c>
      <c r="D20" s="55">
        <v>0</v>
      </c>
      <c r="E20" s="519"/>
      <c r="F20" s="519"/>
      <c r="G20" s="519"/>
      <c r="H20" s="517">
        <v>0</v>
      </c>
    </row>
    <row r="21" spans="2:9" ht="45" x14ac:dyDescent="0.25">
      <c r="B21" s="451">
        <v>13</v>
      </c>
      <c r="C21" s="518" t="s">
        <v>547</v>
      </c>
      <c r="D21" s="519"/>
      <c r="E21" s="55">
        <f>+E19</f>
        <v>35075.036</v>
      </c>
      <c r="F21" s="55">
        <v>0</v>
      </c>
      <c r="G21" s="56">
        <v>0</v>
      </c>
      <c r="H21" s="517">
        <v>0</v>
      </c>
    </row>
    <row r="22" spans="2:9" x14ac:dyDescent="0.25">
      <c r="B22" s="50">
        <v>14</v>
      </c>
      <c r="C22" s="54" t="s">
        <v>548</v>
      </c>
      <c r="D22" s="522"/>
      <c r="E22" s="522"/>
      <c r="F22" s="522"/>
      <c r="G22" s="522"/>
      <c r="H22" s="517">
        <f>+H9+H12+H15</f>
        <v>8007070.5720000006</v>
      </c>
      <c r="I22" s="353"/>
    </row>
    <row r="23" spans="2:9" ht="23.25" customHeight="1" x14ac:dyDescent="0.25">
      <c r="B23" s="1045" t="s">
        <v>549</v>
      </c>
      <c r="C23" s="1046"/>
      <c r="D23" s="1046"/>
      <c r="E23" s="1046"/>
      <c r="F23" s="1046"/>
      <c r="G23" s="1046"/>
      <c r="H23" s="1047"/>
    </row>
    <row r="24" spans="2:9" x14ac:dyDescent="0.25">
      <c r="B24" s="513">
        <v>15</v>
      </c>
      <c r="C24" s="514" t="s">
        <v>495</v>
      </c>
      <c r="D24" s="523"/>
      <c r="E24" s="524"/>
      <c r="F24" s="524"/>
      <c r="G24" s="525"/>
      <c r="H24" s="520">
        <f>220624113/1000</f>
        <v>220624.11300000001</v>
      </c>
    </row>
    <row r="25" spans="2:9" ht="45" x14ac:dyDescent="0.25">
      <c r="B25" s="513" t="s">
        <v>550</v>
      </c>
      <c r="C25" s="514" t="s">
        <v>551</v>
      </c>
      <c r="D25" s="526"/>
      <c r="E25" s="516">
        <v>0</v>
      </c>
      <c r="F25" s="516">
        <v>0</v>
      </c>
      <c r="G25" s="520">
        <v>0</v>
      </c>
      <c r="H25" s="520">
        <v>0</v>
      </c>
    </row>
    <row r="26" spans="2:9" ht="30" x14ac:dyDescent="0.25">
      <c r="B26" s="513">
        <v>16</v>
      </c>
      <c r="C26" s="514" t="s">
        <v>552</v>
      </c>
      <c r="D26" s="523"/>
      <c r="E26" s="516">
        <v>0</v>
      </c>
      <c r="F26" s="516">
        <v>0</v>
      </c>
      <c r="G26" s="520">
        <v>0</v>
      </c>
      <c r="H26" s="520">
        <v>0</v>
      </c>
    </row>
    <row r="27" spans="2:9" x14ac:dyDescent="0.25">
      <c r="B27" s="513">
        <v>17</v>
      </c>
      <c r="C27" s="514" t="s">
        <v>553</v>
      </c>
      <c r="D27" s="523"/>
      <c r="E27" s="516">
        <f>(119176776+172348790)/1000</f>
        <v>291525.56599999999</v>
      </c>
      <c r="F27" s="516">
        <f>(4415598+66963516)/1000</f>
        <v>71379.114000000001</v>
      </c>
      <c r="G27" s="520">
        <f>(459393038+3846816160)/1000</f>
        <v>4306209.1979999999</v>
      </c>
      <c r="H27" s="520">
        <f>(507694629+3281218193)/1000</f>
        <v>3788912.8220000002</v>
      </c>
    </row>
    <row r="28" spans="2:9" ht="75" x14ac:dyDescent="0.25">
      <c r="B28" s="451">
        <v>18</v>
      </c>
      <c r="C28" s="527" t="s">
        <v>554</v>
      </c>
      <c r="D28" s="523"/>
      <c r="E28" s="55">
        <v>0</v>
      </c>
      <c r="F28" s="55">
        <v>0</v>
      </c>
      <c r="G28" s="56">
        <v>0</v>
      </c>
      <c r="H28" s="56">
        <v>0</v>
      </c>
    </row>
    <row r="29" spans="2:9" ht="75" x14ac:dyDescent="0.25">
      <c r="B29" s="451">
        <v>19</v>
      </c>
      <c r="C29" s="518" t="s">
        <v>555</v>
      </c>
      <c r="D29" s="523"/>
      <c r="E29" s="55">
        <f>105948298/1000</f>
        <v>105948.298</v>
      </c>
      <c r="F29" s="55">
        <v>0</v>
      </c>
      <c r="G29" s="56">
        <f>651972619/1000</f>
        <v>651972.61899999995</v>
      </c>
      <c r="H29" s="56">
        <f>662567449/1000</f>
        <v>662567.44900000002</v>
      </c>
    </row>
    <row r="30" spans="2:9" ht="60" x14ac:dyDescent="0.25">
      <c r="B30" s="451">
        <v>20</v>
      </c>
      <c r="C30" s="518" t="s">
        <v>556</v>
      </c>
      <c r="D30" s="523"/>
      <c r="E30" s="55">
        <f>(11166320-11116475+55234173)/1000</f>
        <v>55284.017999999996</v>
      </c>
      <c r="F30" s="55">
        <f>(12788860-12636169+54174656)/1000</f>
        <v>54327.347000000002</v>
      </c>
      <c r="G30" s="56">
        <f>(818241347-802615637+2376602194-87085)/1000</f>
        <v>2392140.8190000001</v>
      </c>
      <c r="H30" s="56">
        <f>(543834465+2074816279)/1000</f>
        <v>2618650.7439999999</v>
      </c>
    </row>
    <row r="31" spans="2:9" ht="45" x14ac:dyDescent="0.25">
      <c r="B31" s="451">
        <v>21</v>
      </c>
      <c r="C31" s="528" t="s">
        <v>557</v>
      </c>
      <c r="D31" s="523"/>
      <c r="E31" s="55">
        <f>(11166320-11116475)/1000</f>
        <v>49.844999999999999</v>
      </c>
      <c r="F31" s="55">
        <f>(12788860-12636169)/1000</f>
        <v>152.691</v>
      </c>
      <c r="G31" s="56">
        <f>(818241347-802615637)/1000</f>
        <v>15625.71</v>
      </c>
      <c r="H31" s="56">
        <f>543834465/1000</f>
        <v>543834.46499999997</v>
      </c>
    </row>
    <row r="32" spans="2:9" ht="30" x14ac:dyDescent="0.25">
      <c r="B32" s="451">
        <v>22</v>
      </c>
      <c r="C32" s="518" t="s">
        <v>558</v>
      </c>
      <c r="D32" s="523"/>
      <c r="E32" s="55">
        <f>(11116475)/1000</f>
        <v>11116.475</v>
      </c>
      <c r="F32" s="55">
        <f>(12636169)/1000</f>
        <v>12636.169</v>
      </c>
      <c r="G32" s="56">
        <f>(802615637+87085)/1000</f>
        <v>802702.72199999995</v>
      </c>
      <c r="H32" s="56">
        <v>0</v>
      </c>
    </row>
    <row r="33" spans="2:10" ht="45" x14ac:dyDescent="0.25">
      <c r="B33" s="451">
        <v>23</v>
      </c>
      <c r="C33" s="528" t="s">
        <v>557</v>
      </c>
      <c r="D33" s="523"/>
      <c r="E33" s="55">
        <f>11116475/1000</f>
        <v>11116.475</v>
      </c>
      <c r="F33" s="55">
        <f>12636169/1000</f>
        <v>12636.169</v>
      </c>
      <c r="G33" s="56">
        <f>8026156371/1000</f>
        <v>8026156.3710000003</v>
      </c>
      <c r="H33" s="56">
        <v>0</v>
      </c>
    </row>
    <row r="34" spans="2:10" ht="90" x14ac:dyDescent="0.25">
      <c r="B34" s="451">
        <v>24</v>
      </c>
      <c r="C34" s="518" t="s">
        <v>559</v>
      </c>
      <c r="D34" s="523"/>
      <c r="E34" s="55">
        <f>119176776/1000</f>
        <v>119176.776</v>
      </c>
      <c r="F34" s="55">
        <f>4415598/1000</f>
        <v>4415.598</v>
      </c>
      <c r="G34" s="56">
        <f>459393038/1000</f>
        <v>459393.038</v>
      </c>
      <c r="H34" s="56">
        <f>507694629/1000</f>
        <v>507694.62900000002</v>
      </c>
    </row>
    <row r="35" spans="2:10" x14ac:dyDescent="0.25">
      <c r="B35" s="513">
        <v>25</v>
      </c>
      <c r="C35" s="514" t="s">
        <v>560</v>
      </c>
      <c r="D35" s="523"/>
      <c r="E35" s="516">
        <v>0</v>
      </c>
      <c r="F35" s="516">
        <v>0</v>
      </c>
      <c r="G35" s="520">
        <v>0</v>
      </c>
      <c r="H35" s="520">
        <v>0</v>
      </c>
    </row>
    <row r="36" spans="2:10" x14ac:dyDescent="0.25">
      <c r="B36" s="513">
        <v>26</v>
      </c>
      <c r="C36" s="514" t="s">
        <v>561</v>
      </c>
      <c r="D36" s="516"/>
      <c r="E36" s="529">
        <f>+E37+E38+E39+E40+E41</f>
        <v>68573.312000000005</v>
      </c>
      <c r="F36" s="529">
        <f>+F37+E38+E39+E40+F41</f>
        <v>5877.1149999999998</v>
      </c>
      <c r="G36" s="530">
        <f>+G37+E38+E39+E40+G41</f>
        <v>980173.74300000002</v>
      </c>
      <c r="H36" s="530">
        <f>+H37+H38+H39+H40+H41</f>
        <v>1019293.0680000001</v>
      </c>
    </row>
    <row r="37" spans="2:10" x14ac:dyDescent="0.25">
      <c r="B37" s="451">
        <v>27</v>
      </c>
      <c r="C37" s="518" t="s">
        <v>562</v>
      </c>
      <c r="D37" s="523"/>
      <c r="E37" s="523"/>
      <c r="F37" s="523"/>
      <c r="G37" s="56">
        <v>0</v>
      </c>
      <c r="H37" s="539">
        <v>0</v>
      </c>
    </row>
    <row r="38" spans="2:10" ht="45" x14ac:dyDescent="0.25">
      <c r="B38" s="451">
        <v>28</v>
      </c>
      <c r="C38" s="518" t="s">
        <v>563</v>
      </c>
      <c r="D38" s="523"/>
      <c r="E38" s="55">
        <v>0</v>
      </c>
      <c r="F38" s="55">
        <v>0</v>
      </c>
      <c r="G38" s="56">
        <v>0</v>
      </c>
      <c r="H38" s="56">
        <v>0</v>
      </c>
    </row>
    <row r="39" spans="2:10" x14ac:dyDescent="0.25">
      <c r="B39" s="451">
        <v>29</v>
      </c>
      <c r="C39" s="518" t="s">
        <v>564</v>
      </c>
      <c r="D39" s="531"/>
      <c r="E39" s="55">
        <f>2029635/1000</f>
        <v>2029.635</v>
      </c>
      <c r="F39" s="55">
        <v>0</v>
      </c>
      <c r="G39" s="56">
        <v>0</v>
      </c>
      <c r="H39" s="56">
        <f>2029635/1000</f>
        <v>2029.635</v>
      </c>
    </row>
    <row r="40" spans="2:10" ht="30" x14ac:dyDescent="0.25">
      <c r="B40" s="451">
        <v>30</v>
      </c>
      <c r="C40" s="518" t="s">
        <v>565</v>
      </c>
      <c r="D40" s="523"/>
      <c r="E40" s="55">
        <f>157858/1000</f>
        <v>157.858</v>
      </c>
      <c r="F40" s="55">
        <v>0</v>
      </c>
      <c r="G40" s="56">
        <v>0</v>
      </c>
      <c r="H40" s="56">
        <v>7.8929999999999998</v>
      </c>
    </row>
    <row r="41" spans="2:10" ht="30" x14ac:dyDescent="0.25">
      <c r="B41" s="451">
        <v>31</v>
      </c>
      <c r="C41" s="518" t="s">
        <v>566</v>
      </c>
      <c r="D41" s="523"/>
      <c r="E41" s="532">
        <f>(30791269+35564788+29762)/1000</f>
        <v>66385.819000000003</v>
      </c>
      <c r="F41" s="532">
        <f>3689622/1000</f>
        <v>3689.6219999999998</v>
      </c>
      <c r="G41" s="56">
        <f>(131292176+846694074)/1000</f>
        <v>977986.25</v>
      </c>
      <c r="H41" s="56">
        <f>(170546585+846708955)/1000</f>
        <v>1017255.54</v>
      </c>
    </row>
    <row r="42" spans="2:10" x14ac:dyDescent="0.25">
      <c r="B42" s="513">
        <v>32</v>
      </c>
      <c r="C42" s="514" t="s">
        <v>567</v>
      </c>
      <c r="D42" s="523"/>
      <c r="E42" s="533">
        <f>2663642798/1000</f>
        <v>2663642.798</v>
      </c>
      <c r="F42" s="533">
        <v>0</v>
      </c>
      <c r="G42" s="534">
        <v>0</v>
      </c>
      <c r="H42" s="535">
        <f>133182140/1000</f>
        <v>133182.14000000001</v>
      </c>
    </row>
    <row r="43" spans="2:10" x14ac:dyDescent="0.25">
      <c r="B43" s="50">
        <v>33</v>
      </c>
      <c r="C43" s="54" t="s">
        <v>38</v>
      </c>
      <c r="D43" s="522"/>
      <c r="E43" s="522"/>
      <c r="F43" s="522"/>
      <c r="G43" s="536"/>
      <c r="H43" s="537">
        <f>+H24+H27+H36+H42</f>
        <v>5162012.1430000002</v>
      </c>
      <c r="I43" s="353"/>
      <c r="J43" s="353"/>
    </row>
    <row r="44" spans="2:10" x14ac:dyDescent="0.25">
      <c r="B44" s="50">
        <v>34</v>
      </c>
      <c r="C44" s="54" t="s">
        <v>568</v>
      </c>
      <c r="D44" s="522"/>
      <c r="E44" s="522"/>
      <c r="F44" s="522"/>
      <c r="G44" s="522"/>
      <c r="H44" s="538">
        <f>+H22/H43*100</f>
        <v>155.11529903814875</v>
      </c>
    </row>
  </sheetData>
  <mergeCells count="5">
    <mergeCell ref="H6:H7"/>
    <mergeCell ref="B23:H23"/>
    <mergeCell ref="B5:C5"/>
    <mergeCell ref="B6:C7"/>
    <mergeCell ref="D6:G6"/>
  </mergeCells>
  <hyperlinks>
    <hyperlink ref="B2" location="Indhold!B23" display="Skema EU LIQ2: Net stable funding ratio " xr:uid="{C0D8CD69-8623-4A54-9A7A-6ABC7115D414}"/>
  </hyperlinks>
  <pageMargins left="0.70866141732283472" right="0.70866141732283472" top="0.74803149606299213" bottom="0.74803149606299213" header="0.31496062992125984" footer="0.31496062992125984"/>
  <pageSetup paperSize="9" orientation="landscape" r:id="rId1"/>
  <headerFooter>
    <oddHeader>&amp;CDA
Bilag XIII</oddHead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6A8CC-59F3-4DDB-BD4B-089A39F4FAFA}">
  <dimension ref="B1:D9"/>
  <sheetViews>
    <sheetView showGridLines="0" zoomScaleNormal="100" workbookViewId="0">
      <selection activeCell="F1" sqref="F1"/>
    </sheetView>
  </sheetViews>
  <sheetFormatPr defaultColWidth="9.140625" defaultRowHeight="15" x14ac:dyDescent="0.25"/>
  <cols>
    <col min="3" max="3" width="55.28515625" customWidth="1"/>
    <col min="4" max="4" width="22" customWidth="1"/>
    <col min="5" max="5" width="44" bestFit="1" customWidth="1"/>
    <col min="6" max="6" width="26.5703125" customWidth="1"/>
    <col min="7" max="7" width="44" bestFit="1" customWidth="1"/>
    <col min="8" max="8" width="16.5703125" customWidth="1"/>
    <col min="9" max="9" width="25.85546875" bestFit="1" customWidth="1"/>
    <col min="10" max="10" width="14" customWidth="1"/>
    <col min="11" max="11" width="25.85546875" bestFit="1" customWidth="1"/>
  </cols>
  <sheetData>
    <row r="1" spans="2:4" ht="18.75" x14ac:dyDescent="0.3">
      <c r="C1" s="86"/>
    </row>
    <row r="3" spans="2:4" x14ac:dyDescent="0.25">
      <c r="B3" s="866" t="s">
        <v>351</v>
      </c>
    </row>
    <row r="6" spans="2:4" x14ac:dyDescent="0.25">
      <c r="D6" s="41" t="s">
        <v>103</v>
      </c>
    </row>
    <row r="7" spans="2:4" x14ac:dyDescent="0.25">
      <c r="B7" s="118">
        <v>1</v>
      </c>
      <c r="C7" s="119" t="s">
        <v>89</v>
      </c>
      <c r="D7" s="120">
        <f>5136453489/1000</f>
        <v>5136453.4890000001</v>
      </c>
    </row>
    <row r="8" spans="2:4" x14ac:dyDescent="0.25">
      <c r="B8" s="118">
        <v>2</v>
      </c>
      <c r="C8" s="119" t="s">
        <v>352</v>
      </c>
      <c r="D8" s="865">
        <f>+D9/D7*100</f>
        <v>2.4999999956195453</v>
      </c>
    </row>
    <row r="9" spans="2:4" x14ac:dyDescent="0.25">
      <c r="B9" s="118">
        <v>3</v>
      </c>
      <c r="C9" s="119" t="s">
        <v>353</v>
      </c>
      <c r="D9" s="120">
        <f>128411337/1000</f>
        <v>128411.337</v>
      </c>
    </row>
  </sheetData>
  <conditionalFormatting sqref="D7:D9">
    <cfRule type="cellIs" dxfId="23" priority="1" stopIfTrue="1" operator="lessThan">
      <formula>0</formula>
    </cfRule>
  </conditionalFormatting>
  <hyperlinks>
    <hyperlink ref="B3" location="Indhold!B21" display="Skema EU-CCyB2 — Størrelsen af den institutspecifikke kontracykliske kapitalbuffer" xr:uid="{FE9B4854-993B-4A91-9904-988AD3D1F685}"/>
  </hyperlinks>
  <pageMargins left="0.70866141732283472" right="0.70866141732283472" top="0.74803149606299213" bottom="0.74803149606299213" header="0.31496062992125984" footer="0.31496062992125984"/>
  <pageSetup paperSize="9" orientation="landscape" verticalDpi="1200" r:id="rId1"/>
  <headerFooter>
    <oddHeader>&amp;CDA
Bilag IX</oddHead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F69ED-A5C9-4045-AECE-427D89C669AB}">
  <sheetPr>
    <pageSetUpPr fitToPage="1"/>
  </sheetPr>
  <dimension ref="B2:R31"/>
  <sheetViews>
    <sheetView showGridLines="0" topLeftCell="A6" zoomScaleNormal="100" workbookViewId="0">
      <selection activeCell="F1" sqref="F1"/>
    </sheetView>
  </sheetViews>
  <sheetFormatPr defaultRowHeight="15" x14ac:dyDescent="0.25"/>
  <cols>
    <col min="2" max="2" width="5.85546875" customWidth="1"/>
    <col min="3" max="3" width="24" bestFit="1" customWidth="1"/>
    <col min="4" max="5" width="11.85546875" bestFit="1" customWidth="1"/>
    <col min="6" max="7" width="10.28515625" bestFit="1" customWidth="1"/>
    <col min="8" max="8" width="9.28515625" bestFit="1" customWidth="1"/>
    <col min="9" max="9" width="10.28515625" bestFit="1" customWidth="1"/>
    <col min="10" max="15" width="9.28515625" bestFit="1" customWidth="1"/>
    <col min="16" max="16" width="10.5703125" customWidth="1"/>
    <col min="17" max="18" width="9.28515625" bestFit="1" customWidth="1"/>
  </cols>
  <sheetData>
    <row r="2" spans="2:18" ht="18.75" x14ac:dyDescent="0.3">
      <c r="B2" s="416" t="s">
        <v>569</v>
      </c>
    </row>
    <row r="3" spans="2:18" ht="15" customHeight="1" x14ac:dyDescent="0.25">
      <c r="B3" s="164"/>
      <c r="C3" s="165"/>
      <c r="D3" s="165"/>
      <c r="E3" s="165"/>
      <c r="F3" s="165"/>
      <c r="G3" s="165"/>
      <c r="H3" s="165"/>
      <c r="I3" s="165"/>
      <c r="J3" s="165"/>
      <c r="K3" s="165"/>
      <c r="L3" s="165"/>
      <c r="N3" s="165"/>
      <c r="O3" s="165"/>
      <c r="P3" s="165"/>
      <c r="Q3" s="165"/>
      <c r="R3" s="165"/>
    </row>
    <row r="4" spans="2:18" ht="15" customHeight="1" thickBot="1" x14ac:dyDescent="0.3">
      <c r="B4" s="164"/>
      <c r="C4" s="165"/>
      <c r="D4" s="165"/>
      <c r="E4" s="165"/>
      <c r="F4" s="165"/>
      <c r="G4" s="165"/>
      <c r="H4" s="165"/>
      <c r="I4" s="165"/>
      <c r="J4" s="165"/>
      <c r="K4" s="165"/>
      <c r="L4" s="165"/>
      <c r="M4" s="165"/>
      <c r="N4" s="165"/>
      <c r="O4" s="165"/>
      <c r="P4" s="165"/>
      <c r="Q4" s="165"/>
      <c r="R4" s="165"/>
    </row>
    <row r="5" spans="2:18" ht="16.5" thickBot="1" x14ac:dyDescent="0.3">
      <c r="B5" s="541"/>
      <c r="C5" s="542"/>
      <c r="D5" s="550" t="s">
        <v>103</v>
      </c>
      <c r="E5" s="550" t="s">
        <v>102</v>
      </c>
      <c r="F5" s="550" t="s">
        <v>97</v>
      </c>
      <c r="G5" s="550" t="s">
        <v>96</v>
      </c>
      <c r="H5" s="550" t="s">
        <v>95</v>
      </c>
      <c r="I5" s="550" t="s">
        <v>111</v>
      </c>
      <c r="J5" s="550" t="s">
        <v>112</v>
      </c>
      <c r="K5" s="550" t="s">
        <v>164</v>
      </c>
      <c r="L5" s="550" t="s">
        <v>323</v>
      </c>
      <c r="M5" s="550" t="s">
        <v>324</v>
      </c>
      <c r="N5" s="550" t="s">
        <v>325</v>
      </c>
      <c r="O5" s="550" t="s">
        <v>326</v>
      </c>
      <c r="P5" s="550" t="s">
        <v>327</v>
      </c>
      <c r="Q5" s="550" t="s">
        <v>354</v>
      </c>
      <c r="R5" s="550" t="s">
        <v>570</v>
      </c>
    </row>
    <row r="6" spans="2:18" ht="40.5" customHeight="1" thickBot="1" x14ac:dyDescent="0.3">
      <c r="B6" s="541"/>
      <c r="C6" s="542"/>
      <c r="D6" s="1059" t="s">
        <v>571</v>
      </c>
      <c r="E6" s="1059"/>
      <c r="F6" s="1059"/>
      <c r="G6" s="1059"/>
      <c r="H6" s="1059"/>
      <c r="I6" s="1059"/>
      <c r="J6" s="1059" t="s">
        <v>572</v>
      </c>
      <c r="K6" s="1059"/>
      <c r="L6" s="1059"/>
      <c r="M6" s="1059"/>
      <c r="N6" s="1059"/>
      <c r="O6" s="1059"/>
      <c r="P6" s="1059" t="s">
        <v>1252</v>
      </c>
      <c r="Q6" s="1059" t="s">
        <v>574</v>
      </c>
      <c r="R6" s="1059"/>
    </row>
    <row r="7" spans="2:18" ht="57.75" customHeight="1" thickBot="1" x14ac:dyDescent="0.3">
      <c r="B7" s="1057" t="s">
        <v>1423</v>
      </c>
      <c r="C7" s="1058"/>
      <c r="D7" s="1060" t="s">
        <v>575</v>
      </c>
      <c r="E7" s="1059"/>
      <c r="F7" s="1059"/>
      <c r="G7" s="1059" t="s">
        <v>484</v>
      </c>
      <c r="H7" s="1059"/>
      <c r="I7" s="1059"/>
      <c r="J7" s="1059" t="s">
        <v>576</v>
      </c>
      <c r="K7" s="1059"/>
      <c r="L7" s="1059"/>
      <c r="M7" s="1059" t="s">
        <v>577</v>
      </c>
      <c r="N7" s="1059"/>
      <c r="O7" s="1059"/>
      <c r="P7" s="1059"/>
      <c r="Q7" s="1059" t="s">
        <v>1253</v>
      </c>
      <c r="R7" s="1059" t="s">
        <v>1254</v>
      </c>
    </row>
    <row r="8" spans="2:18" ht="15.75" x14ac:dyDescent="0.25">
      <c r="B8" s="541"/>
      <c r="C8" s="551"/>
      <c r="D8" s="552"/>
      <c r="E8" s="553" t="s">
        <v>578</v>
      </c>
      <c r="F8" s="553" t="s">
        <v>579</v>
      </c>
      <c r="G8" s="552"/>
      <c r="H8" s="553" t="s">
        <v>579</v>
      </c>
      <c r="I8" s="553" t="s">
        <v>580</v>
      </c>
      <c r="J8" s="552"/>
      <c r="K8" s="553" t="s">
        <v>578</v>
      </c>
      <c r="L8" s="553" t="s">
        <v>579</v>
      </c>
      <c r="M8" s="552"/>
      <c r="N8" s="553" t="s">
        <v>579</v>
      </c>
      <c r="O8" s="553" t="s">
        <v>580</v>
      </c>
      <c r="P8" s="552"/>
      <c r="Q8" s="1060"/>
      <c r="R8" s="1060"/>
    </row>
    <row r="9" spans="2:18" ht="45" x14ac:dyDescent="0.25">
      <c r="B9" s="544" t="s">
        <v>581</v>
      </c>
      <c r="C9" s="545" t="s">
        <v>582</v>
      </c>
      <c r="D9" s="558">
        <f>849093505/1000</f>
        <v>849093.505</v>
      </c>
      <c r="E9" s="558">
        <f>849093505/1000</f>
        <v>849093.505</v>
      </c>
      <c r="F9" s="558">
        <v>0</v>
      </c>
      <c r="G9" s="558">
        <v>0</v>
      </c>
      <c r="H9" s="558">
        <v>0</v>
      </c>
      <c r="I9" s="558">
        <v>0</v>
      </c>
      <c r="J9" s="558">
        <v>0</v>
      </c>
      <c r="K9" s="558"/>
      <c r="L9" s="558"/>
      <c r="M9" s="558">
        <v>0</v>
      </c>
      <c r="N9" s="558">
        <v>0</v>
      </c>
      <c r="O9" s="558">
        <v>0</v>
      </c>
      <c r="P9" s="558">
        <v>0</v>
      </c>
      <c r="Q9" s="558">
        <v>0</v>
      </c>
      <c r="R9" s="558">
        <v>0</v>
      </c>
    </row>
    <row r="10" spans="2:18" x14ac:dyDescent="0.25">
      <c r="B10" s="544" t="s">
        <v>343</v>
      </c>
      <c r="C10" s="545" t="s">
        <v>583</v>
      </c>
      <c r="D10" s="558">
        <f>4006047001/1000</f>
        <v>4006047.0010000002</v>
      </c>
      <c r="E10" s="558">
        <f>3152079001/1000</f>
        <v>3152079.0010000002</v>
      </c>
      <c r="F10" s="558">
        <f>853968000/1000</f>
        <v>853968</v>
      </c>
      <c r="G10" s="558">
        <f>239302000/1000</f>
        <v>239302</v>
      </c>
      <c r="H10" s="558">
        <v>0</v>
      </c>
      <c r="I10" s="558">
        <f>239302000/1000</f>
        <v>239302</v>
      </c>
      <c r="J10" s="558">
        <f>-54641000/1000</f>
        <v>-54641</v>
      </c>
      <c r="K10" s="558">
        <f>-22011000/1000</f>
        <v>-22011</v>
      </c>
      <c r="L10" s="558">
        <f>-32630000/1000</f>
        <v>-32630</v>
      </c>
      <c r="M10" s="558">
        <f>-84557000/1000</f>
        <v>-84557</v>
      </c>
      <c r="N10" s="558">
        <v>0</v>
      </c>
      <c r="O10" s="558">
        <f>-84557000/1000</f>
        <v>-84557</v>
      </c>
      <c r="P10" s="558">
        <v>0</v>
      </c>
      <c r="Q10" s="558">
        <v>0</v>
      </c>
      <c r="R10" s="558">
        <v>0</v>
      </c>
    </row>
    <row r="11" spans="2:18" x14ac:dyDescent="0.25">
      <c r="B11" s="546" t="s">
        <v>349</v>
      </c>
      <c r="C11" s="547" t="s">
        <v>584</v>
      </c>
      <c r="D11" s="559">
        <v>0</v>
      </c>
      <c r="E11" s="559">
        <v>0</v>
      </c>
      <c r="F11" s="559">
        <v>0</v>
      </c>
      <c r="G11" s="559">
        <v>0</v>
      </c>
      <c r="H11" s="558">
        <v>0</v>
      </c>
      <c r="I11" s="559">
        <v>0</v>
      </c>
      <c r="J11" s="558">
        <v>0</v>
      </c>
      <c r="K11" s="558">
        <v>0</v>
      </c>
      <c r="L11" s="558">
        <v>0</v>
      </c>
      <c r="M11" s="558">
        <v>0</v>
      </c>
      <c r="N11" s="558">
        <v>0</v>
      </c>
      <c r="O11" s="558">
        <v>0</v>
      </c>
      <c r="P11" s="558">
        <v>0</v>
      </c>
      <c r="Q11" s="558">
        <v>0</v>
      </c>
      <c r="R11" s="558">
        <v>0</v>
      </c>
    </row>
    <row r="12" spans="2:18" x14ac:dyDescent="0.25">
      <c r="B12" s="546" t="s">
        <v>585</v>
      </c>
      <c r="C12" s="547" t="s">
        <v>586</v>
      </c>
      <c r="D12" s="559">
        <v>15.984999999999999</v>
      </c>
      <c r="E12" s="559">
        <v>2.0920000000000001</v>
      </c>
      <c r="F12" s="559">
        <v>13.893000000000001</v>
      </c>
      <c r="G12" s="559">
        <v>0</v>
      </c>
      <c r="H12" s="558">
        <v>0</v>
      </c>
      <c r="I12" s="559">
        <v>0</v>
      </c>
      <c r="J12" s="558">
        <v>-2.0329999999999999</v>
      </c>
      <c r="K12" s="558">
        <v>-0.318</v>
      </c>
      <c r="L12" s="558">
        <v>-13.645</v>
      </c>
      <c r="M12" s="558">
        <v>0</v>
      </c>
      <c r="N12" s="558">
        <v>0</v>
      </c>
      <c r="O12" s="558">
        <v>0</v>
      </c>
      <c r="P12" s="558">
        <v>0</v>
      </c>
      <c r="Q12" s="558">
        <v>0</v>
      </c>
      <c r="R12" s="558">
        <v>0</v>
      </c>
    </row>
    <row r="13" spans="2:18" x14ac:dyDescent="0.25">
      <c r="B13" s="546" t="s">
        <v>587</v>
      </c>
      <c r="C13" s="547" t="s">
        <v>588</v>
      </c>
      <c r="D13" s="559">
        <v>0</v>
      </c>
      <c r="E13" s="559">
        <v>0</v>
      </c>
      <c r="F13" s="559">
        <v>0</v>
      </c>
      <c r="G13" s="559">
        <v>0</v>
      </c>
      <c r="H13" s="558">
        <v>0</v>
      </c>
      <c r="I13" s="559">
        <v>0</v>
      </c>
      <c r="J13" s="558">
        <v>0</v>
      </c>
      <c r="K13" s="558">
        <v>0</v>
      </c>
      <c r="L13" s="558">
        <v>0</v>
      </c>
      <c r="M13" s="558">
        <v>0</v>
      </c>
      <c r="N13" s="558">
        <v>0</v>
      </c>
      <c r="O13" s="558">
        <v>0</v>
      </c>
      <c r="P13" s="558">
        <v>0</v>
      </c>
      <c r="Q13" s="558">
        <v>0</v>
      </c>
      <c r="R13" s="558">
        <v>0</v>
      </c>
    </row>
    <row r="14" spans="2:18" ht="30" x14ac:dyDescent="0.25">
      <c r="B14" s="546" t="s">
        <v>589</v>
      </c>
      <c r="C14" s="547" t="s">
        <v>590</v>
      </c>
      <c r="D14" s="559">
        <f>777935313/1000</f>
        <v>777935.31299999997</v>
      </c>
      <c r="E14" s="559">
        <f>758344194/1000</f>
        <v>758344.19400000002</v>
      </c>
      <c r="F14" s="559">
        <f>19591120/1000</f>
        <v>19591.12</v>
      </c>
      <c r="G14" s="559">
        <f>4345470/1000</f>
        <v>4345.47</v>
      </c>
      <c r="H14" s="558">
        <v>0</v>
      </c>
      <c r="I14" s="559">
        <f>4345470/1000</f>
        <v>4345.47</v>
      </c>
      <c r="J14" s="558">
        <f>-2208844/1000</f>
        <v>-2208.8440000000001</v>
      </c>
      <c r="K14" s="558">
        <f>-957133/1000</f>
        <v>-957.13300000000004</v>
      </c>
      <c r="L14" s="558">
        <f>-1251712/1000</f>
        <v>-1251.712</v>
      </c>
      <c r="M14" s="558">
        <f>-2163672/1000</f>
        <v>-2163.672</v>
      </c>
      <c r="N14" s="558">
        <v>0</v>
      </c>
      <c r="O14" s="558">
        <f>-2163672/1000</f>
        <v>-2163.672</v>
      </c>
      <c r="P14" s="558">
        <v>0</v>
      </c>
      <c r="Q14" s="558">
        <v>0</v>
      </c>
      <c r="R14" s="558">
        <v>0</v>
      </c>
    </row>
    <row r="15" spans="2:18" x14ac:dyDescent="0.25">
      <c r="B15" s="546" t="s">
        <v>591</v>
      </c>
      <c r="C15" s="547" t="s">
        <v>592</v>
      </c>
      <c r="D15" s="559">
        <f>1569236601/1000</f>
        <v>1569236.601</v>
      </c>
      <c r="E15" s="559">
        <f>1116312275/1000</f>
        <v>1116312.2749999999</v>
      </c>
      <c r="F15" s="559">
        <f>452924326/1000</f>
        <v>452924.326</v>
      </c>
      <c r="G15" s="559">
        <f>134308398/1000</f>
        <v>134308.39799999999</v>
      </c>
      <c r="H15" s="558">
        <v>0</v>
      </c>
      <c r="I15" s="559">
        <f>-134308398/1000</f>
        <v>-134308.39799999999</v>
      </c>
      <c r="J15" s="558">
        <f>-26614721/1000</f>
        <v>-26614.721000000001</v>
      </c>
      <c r="K15" s="558">
        <f>-7436993/1000</f>
        <v>-7436.9930000000004</v>
      </c>
      <c r="L15" s="558">
        <f>-19177728/1000</f>
        <v>-19177.727999999999</v>
      </c>
      <c r="M15" s="558">
        <f>-33356209/1000</f>
        <v>-33356.209000000003</v>
      </c>
      <c r="N15" s="558">
        <v>0</v>
      </c>
      <c r="O15" s="558">
        <f>-33356209/1000</f>
        <v>-33356.209000000003</v>
      </c>
      <c r="P15" s="558">
        <v>0</v>
      </c>
      <c r="Q15" s="558">
        <v>0</v>
      </c>
      <c r="R15" s="558">
        <v>0</v>
      </c>
    </row>
    <row r="16" spans="2:18" x14ac:dyDescent="0.25">
      <c r="B16" s="546" t="s">
        <v>593</v>
      </c>
      <c r="C16" s="57" t="s">
        <v>594</v>
      </c>
      <c r="D16" s="559">
        <f>1569236601/1000</f>
        <v>1569236.601</v>
      </c>
      <c r="E16" s="559">
        <f>1116312275/1000</f>
        <v>1116312.2749999999</v>
      </c>
      <c r="F16" s="559">
        <f>452924326/1000</f>
        <v>452924.326</v>
      </c>
      <c r="G16" s="559">
        <f>134308398/1000</f>
        <v>134308.39799999999</v>
      </c>
      <c r="H16" s="558">
        <v>0</v>
      </c>
      <c r="I16" s="559">
        <f>-134308398/1000</f>
        <v>-134308.39799999999</v>
      </c>
      <c r="J16" s="558">
        <f>-26614721/1000</f>
        <v>-26614.721000000001</v>
      </c>
      <c r="K16" s="558">
        <f>-7436993/1000</f>
        <v>-7436.9930000000004</v>
      </c>
      <c r="L16" s="558">
        <f>-19177728/1000</f>
        <v>-19177.727999999999</v>
      </c>
      <c r="M16" s="558">
        <f>-33356209/1000</f>
        <v>-33356.209000000003</v>
      </c>
      <c r="N16" s="558">
        <v>0</v>
      </c>
      <c r="O16" s="558">
        <f>-33356209/1000</f>
        <v>-33356.209000000003</v>
      </c>
      <c r="P16" s="558">
        <v>0</v>
      </c>
      <c r="Q16" s="558">
        <v>0</v>
      </c>
      <c r="R16" s="558">
        <v>0</v>
      </c>
    </row>
    <row r="17" spans="2:18" x14ac:dyDescent="0.25">
      <c r="B17" s="546" t="s">
        <v>595</v>
      </c>
      <c r="C17" s="547" t="s">
        <v>596</v>
      </c>
      <c r="D17" s="559">
        <f>1658859102/1000</f>
        <v>1658859.102</v>
      </c>
      <c r="E17" s="559">
        <f>1277420441/1000</f>
        <v>1277420.4410000001</v>
      </c>
      <c r="F17" s="559">
        <f>381438661/1000</f>
        <v>381438.66100000002</v>
      </c>
      <c r="G17" s="559">
        <f>100648132/1000</f>
        <v>100648.132</v>
      </c>
      <c r="H17" s="558">
        <v>0</v>
      </c>
      <c r="I17" s="559">
        <f>100648132/1000</f>
        <v>100648.132</v>
      </c>
      <c r="J17" s="558">
        <f>-25803471/1000</f>
        <v>-25803.471000000001</v>
      </c>
      <c r="K17" s="558">
        <f>-13616556/1000</f>
        <v>-13616.556</v>
      </c>
      <c r="L17" s="558">
        <f>-12186915/1000</f>
        <v>-12186.915000000001</v>
      </c>
      <c r="M17" s="558">
        <f>-49037119/1000</f>
        <v>-49037.118999999999</v>
      </c>
      <c r="N17" s="558">
        <v>0</v>
      </c>
      <c r="O17" s="558">
        <f>-49037119/1000</f>
        <v>-49037.118999999999</v>
      </c>
      <c r="P17" s="558">
        <v>0</v>
      </c>
      <c r="Q17" s="558">
        <v>0</v>
      </c>
      <c r="R17" s="558">
        <v>0</v>
      </c>
    </row>
    <row r="18" spans="2:18" x14ac:dyDescent="0.25">
      <c r="B18" s="544" t="s">
        <v>597</v>
      </c>
      <c r="C18" s="545" t="s">
        <v>598</v>
      </c>
      <c r="D18" s="558">
        <v>0</v>
      </c>
      <c r="E18" s="558">
        <v>0</v>
      </c>
      <c r="F18" s="558">
        <v>0</v>
      </c>
      <c r="G18" s="558">
        <v>0</v>
      </c>
      <c r="H18" s="558">
        <v>0</v>
      </c>
      <c r="I18" s="558">
        <v>0</v>
      </c>
      <c r="J18" s="558">
        <v>0</v>
      </c>
      <c r="K18" s="558">
        <v>0</v>
      </c>
      <c r="L18" s="558">
        <v>0</v>
      </c>
      <c r="M18" s="558">
        <v>0</v>
      </c>
      <c r="N18" s="558">
        <v>0</v>
      </c>
      <c r="O18" s="558">
        <v>0</v>
      </c>
      <c r="P18" s="558">
        <v>0</v>
      </c>
      <c r="Q18" s="558">
        <v>0</v>
      </c>
      <c r="R18" s="558">
        <v>0</v>
      </c>
    </row>
    <row r="19" spans="2:18" x14ac:dyDescent="0.25">
      <c r="B19" s="546" t="s">
        <v>599</v>
      </c>
      <c r="C19" s="547" t="s">
        <v>584</v>
      </c>
      <c r="D19" s="559">
        <v>0</v>
      </c>
      <c r="E19" s="559">
        <v>0</v>
      </c>
      <c r="F19" s="559">
        <v>0</v>
      </c>
      <c r="G19" s="559">
        <v>0</v>
      </c>
      <c r="H19" s="558">
        <v>0</v>
      </c>
      <c r="I19" s="559">
        <v>0</v>
      </c>
      <c r="J19" s="558">
        <v>0</v>
      </c>
      <c r="K19" s="558">
        <v>0</v>
      </c>
      <c r="L19" s="558">
        <v>0</v>
      </c>
      <c r="M19" s="558">
        <v>0</v>
      </c>
      <c r="N19" s="558">
        <v>0</v>
      </c>
      <c r="O19" s="558">
        <v>0</v>
      </c>
      <c r="P19" s="558">
        <v>0</v>
      </c>
      <c r="Q19" s="558">
        <v>0</v>
      </c>
      <c r="R19" s="558">
        <v>0</v>
      </c>
    </row>
    <row r="20" spans="2:18" x14ac:dyDescent="0.25">
      <c r="B20" s="546" t="s">
        <v>600</v>
      </c>
      <c r="C20" s="547" t="s">
        <v>586</v>
      </c>
      <c r="D20" s="559">
        <v>0</v>
      </c>
      <c r="E20" s="559">
        <v>0</v>
      </c>
      <c r="F20" s="559">
        <v>0</v>
      </c>
      <c r="G20" s="559">
        <v>0</v>
      </c>
      <c r="H20" s="558">
        <v>0</v>
      </c>
      <c r="I20" s="559">
        <v>0</v>
      </c>
      <c r="J20" s="558">
        <v>0</v>
      </c>
      <c r="K20" s="558">
        <v>0</v>
      </c>
      <c r="L20" s="558">
        <v>0</v>
      </c>
      <c r="M20" s="558">
        <v>0</v>
      </c>
      <c r="N20" s="558">
        <v>0</v>
      </c>
      <c r="O20" s="558">
        <v>0</v>
      </c>
      <c r="P20" s="558">
        <v>0</v>
      </c>
      <c r="Q20" s="558">
        <v>0</v>
      </c>
      <c r="R20" s="558">
        <v>0</v>
      </c>
    </row>
    <row r="21" spans="2:18" x14ac:dyDescent="0.25">
      <c r="B21" s="546" t="s">
        <v>601</v>
      </c>
      <c r="C21" s="547" t="s">
        <v>588</v>
      </c>
      <c r="D21" s="559">
        <v>0</v>
      </c>
      <c r="E21" s="559">
        <v>0</v>
      </c>
      <c r="F21" s="559">
        <v>0</v>
      </c>
      <c r="G21" s="559">
        <v>0</v>
      </c>
      <c r="H21" s="558">
        <v>0</v>
      </c>
      <c r="I21" s="559">
        <v>0</v>
      </c>
      <c r="J21" s="558">
        <v>0</v>
      </c>
      <c r="K21" s="558">
        <v>0</v>
      </c>
      <c r="L21" s="558">
        <v>0</v>
      </c>
      <c r="M21" s="558">
        <v>0</v>
      </c>
      <c r="N21" s="558">
        <v>0</v>
      </c>
      <c r="O21" s="558">
        <v>0</v>
      </c>
      <c r="P21" s="558">
        <v>0</v>
      </c>
      <c r="Q21" s="558">
        <v>0</v>
      </c>
      <c r="R21" s="558">
        <v>0</v>
      </c>
    </row>
    <row r="22" spans="2:18" ht="30" x14ac:dyDescent="0.25">
      <c r="B22" s="546" t="s">
        <v>602</v>
      </c>
      <c r="C22" s="547" t="s">
        <v>590</v>
      </c>
      <c r="D22" s="559">
        <v>0</v>
      </c>
      <c r="E22" s="559">
        <v>0</v>
      </c>
      <c r="F22" s="559">
        <v>0</v>
      </c>
      <c r="G22" s="559">
        <v>0</v>
      </c>
      <c r="H22" s="558">
        <v>0</v>
      </c>
      <c r="I22" s="559">
        <v>0</v>
      </c>
      <c r="J22" s="558">
        <v>0</v>
      </c>
      <c r="K22" s="558">
        <v>0</v>
      </c>
      <c r="L22" s="558">
        <v>0</v>
      </c>
      <c r="M22" s="558">
        <v>0</v>
      </c>
      <c r="N22" s="558">
        <v>0</v>
      </c>
      <c r="O22" s="558">
        <v>0</v>
      </c>
      <c r="P22" s="558">
        <v>0</v>
      </c>
      <c r="Q22" s="558">
        <v>0</v>
      </c>
      <c r="R22" s="558">
        <v>0</v>
      </c>
    </row>
    <row r="23" spans="2:18" x14ac:dyDescent="0.25">
      <c r="B23" s="546" t="s">
        <v>603</v>
      </c>
      <c r="C23" s="547" t="s">
        <v>592</v>
      </c>
      <c r="D23" s="559">
        <v>0</v>
      </c>
      <c r="E23" s="559">
        <v>0</v>
      </c>
      <c r="F23" s="559">
        <v>0</v>
      </c>
      <c r="G23" s="559">
        <v>0</v>
      </c>
      <c r="H23" s="558">
        <v>0</v>
      </c>
      <c r="I23" s="559">
        <v>0</v>
      </c>
      <c r="J23" s="558">
        <v>0</v>
      </c>
      <c r="K23" s="558">
        <v>0</v>
      </c>
      <c r="L23" s="558">
        <v>0</v>
      </c>
      <c r="M23" s="558">
        <v>0</v>
      </c>
      <c r="N23" s="558">
        <v>0</v>
      </c>
      <c r="O23" s="558">
        <v>0</v>
      </c>
      <c r="P23" s="558">
        <v>0</v>
      </c>
      <c r="Q23" s="558">
        <v>0</v>
      </c>
      <c r="R23" s="558">
        <v>0</v>
      </c>
    </row>
    <row r="24" spans="2:18" ht="30" x14ac:dyDescent="0.25">
      <c r="B24" s="544" t="s">
        <v>604</v>
      </c>
      <c r="C24" s="545" t="s">
        <v>415</v>
      </c>
      <c r="D24" s="558">
        <f>3821804896/1000</f>
        <v>3821804.8960000002</v>
      </c>
      <c r="E24" s="558">
        <f>3558483239/1000</f>
        <v>3558483.2390000001</v>
      </c>
      <c r="F24" s="558">
        <f>263321656/1000</f>
        <v>263321.65600000002</v>
      </c>
      <c r="G24" s="558">
        <f>31949291/1000</f>
        <v>31949.291000000001</v>
      </c>
      <c r="H24" s="558">
        <v>0</v>
      </c>
      <c r="I24" s="558">
        <f>31949291/1000</f>
        <v>31949.291000000001</v>
      </c>
      <c r="J24" s="558">
        <f>16170000/1000</f>
        <v>16170</v>
      </c>
      <c r="K24" s="558">
        <f>10669000/1000</f>
        <v>10669</v>
      </c>
      <c r="L24" s="558">
        <f>5501000/1000</f>
        <v>5501</v>
      </c>
      <c r="M24" s="558">
        <f>5485000/1000</f>
        <v>5485</v>
      </c>
      <c r="N24" s="558">
        <v>0</v>
      </c>
      <c r="O24" s="558">
        <f>5485000/1000</f>
        <v>5485</v>
      </c>
      <c r="P24" s="560"/>
      <c r="Q24" s="558">
        <v>0</v>
      </c>
      <c r="R24" s="558">
        <v>0</v>
      </c>
    </row>
    <row r="25" spans="2:18" x14ac:dyDescent="0.25">
      <c r="B25" s="546" t="s">
        <v>605</v>
      </c>
      <c r="C25" s="547" t="s">
        <v>584</v>
      </c>
      <c r="D25" s="558">
        <v>0</v>
      </c>
      <c r="E25" s="558">
        <v>0</v>
      </c>
      <c r="F25" s="558">
        <v>0</v>
      </c>
      <c r="G25" s="558">
        <v>0</v>
      </c>
      <c r="H25" s="558">
        <v>0</v>
      </c>
      <c r="I25" s="558">
        <v>0</v>
      </c>
      <c r="J25" s="558">
        <v>0</v>
      </c>
      <c r="K25" s="558">
        <v>0</v>
      </c>
      <c r="L25" s="558">
        <v>0</v>
      </c>
      <c r="M25" s="558">
        <v>0</v>
      </c>
      <c r="N25" s="558">
        <v>0</v>
      </c>
      <c r="O25" s="558">
        <v>0</v>
      </c>
      <c r="P25" s="560"/>
      <c r="Q25" s="558">
        <v>0</v>
      </c>
      <c r="R25" s="558">
        <v>0</v>
      </c>
    </row>
    <row r="26" spans="2:18" x14ac:dyDescent="0.25">
      <c r="B26" s="546" t="s">
        <v>606</v>
      </c>
      <c r="C26" s="547" t="s">
        <v>586</v>
      </c>
      <c r="D26" s="558">
        <f>(1634265+2687983)/1000</f>
        <v>4322.2479999999996</v>
      </c>
      <c r="E26" s="558">
        <f>(1298158+1316166)/1000</f>
        <v>2614.3240000000001</v>
      </c>
      <c r="F26" s="558">
        <f>(336107+1371816)/1000</f>
        <v>1707.923</v>
      </c>
      <c r="G26" s="558">
        <v>0</v>
      </c>
      <c r="H26" s="558">
        <v>0</v>
      </c>
      <c r="I26" s="558">
        <v>0</v>
      </c>
      <c r="J26" s="558">
        <f>(82554+204782)/1000</f>
        <v>287.33600000000001</v>
      </c>
      <c r="K26" s="558">
        <f>204782/1000</f>
        <v>204.78200000000001</v>
      </c>
      <c r="L26" s="558">
        <f>82554/1000</f>
        <v>82.554000000000002</v>
      </c>
      <c r="M26" s="558">
        <v>0</v>
      </c>
      <c r="N26" s="558">
        <v>0</v>
      </c>
      <c r="O26" s="558">
        <v>0</v>
      </c>
      <c r="P26" s="560"/>
      <c r="Q26" s="558">
        <v>0</v>
      </c>
      <c r="R26" s="558">
        <v>0</v>
      </c>
    </row>
    <row r="27" spans="2:18" x14ac:dyDescent="0.25">
      <c r="B27" s="546" t="s">
        <v>607</v>
      </c>
      <c r="C27" s="547" t="s">
        <v>588</v>
      </c>
      <c r="D27" s="558">
        <f>(45176061+31540002)/1000</f>
        <v>76716.062999999995</v>
      </c>
      <c r="E27" s="558">
        <f>(45176061+31540002)/1000</f>
        <v>76716.062999999995</v>
      </c>
      <c r="F27" s="558">
        <v>0</v>
      </c>
      <c r="G27" s="558">
        <v>0</v>
      </c>
      <c r="H27" s="558">
        <v>0</v>
      </c>
      <c r="I27" s="558">
        <v>0</v>
      </c>
      <c r="J27" s="558">
        <f>2000000/1000</f>
        <v>2000</v>
      </c>
      <c r="K27" s="558">
        <f>2000000/1000</f>
        <v>2000</v>
      </c>
      <c r="L27" s="558">
        <v>0</v>
      </c>
      <c r="M27" s="558">
        <v>0</v>
      </c>
      <c r="N27" s="558">
        <v>0</v>
      </c>
      <c r="O27" s="558">
        <v>0</v>
      </c>
      <c r="P27" s="560"/>
      <c r="Q27" s="558">
        <v>0</v>
      </c>
      <c r="R27" s="558">
        <v>0</v>
      </c>
    </row>
    <row r="28" spans="2:18" ht="30" x14ac:dyDescent="0.25">
      <c r="B28" s="546" t="s">
        <v>608</v>
      </c>
      <c r="C28" s="547" t="s">
        <v>590</v>
      </c>
      <c r="D28" s="558">
        <f>(82949341+9312893)/1000</f>
        <v>92262.233999999997</v>
      </c>
      <c r="E28" s="558">
        <f>(81648270+7559423)/1000</f>
        <v>89207.692999999999</v>
      </c>
      <c r="F28" s="558">
        <f>(1301071+1753470)/1000</f>
        <v>3054.5410000000002</v>
      </c>
      <c r="G28" s="558">
        <v>14.736000000000001</v>
      </c>
      <c r="H28" s="558">
        <v>0</v>
      </c>
      <c r="I28" s="558">
        <v>14.736000000000001</v>
      </c>
      <c r="J28" s="558">
        <f>(30550+49448)/1000</f>
        <v>79.998000000000005</v>
      </c>
      <c r="K28" s="558">
        <f>(30334+49229)/1000</f>
        <v>79.563000000000002</v>
      </c>
      <c r="L28" s="558">
        <f>(216+219)/1000</f>
        <v>0.435</v>
      </c>
      <c r="M28" s="558">
        <v>14.736000000000001</v>
      </c>
      <c r="N28" s="558">
        <v>0</v>
      </c>
      <c r="O28" s="558">
        <v>14.736000000000001</v>
      </c>
      <c r="P28" s="560"/>
      <c r="Q28" s="558">
        <v>0</v>
      </c>
      <c r="R28" s="558">
        <v>0</v>
      </c>
    </row>
    <row r="29" spans="2:18" x14ac:dyDescent="0.25">
      <c r="B29" s="546" t="s">
        <v>609</v>
      </c>
      <c r="C29" s="547" t="s">
        <v>592</v>
      </c>
      <c r="D29" s="558">
        <f>(1154967600+232172549)/1000</f>
        <v>1387140.149</v>
      </c>
      <c r="E29" s="558">
        <f>(1083144929+204577752)/1000</f>
        <v>1287722.6810000001</v>
      </c>
      <c r="F29" s="558">
        <f>(71822671+27594797)/1000</f>
        <v>99417.467999999993</v>
      </c>
      <c r="G29" s="558">
        <f>(6726722+2599643)/1000</f>
        <v>9326.3649999999998</v>
      </c>
      <c r="H29" s="558">
        <v>0</v>
      </c>
      <c r="I29" s="558">
        <f>(6726722+2599643)/1000</f>
        <v>9326.3649999999998</v>
      </c>
      <c r="J29" s="558">
        <f>(2729174+1855671)/1000</f>
        <v>4584.8450000000003</v>
      </c>
      <c r="K29" s="558">
        <f>(1469049+1451698)/1000</f>
        <v>2920.7469999999998</v>
      </c>
      <c r="L29" s="558">
        <f>(1260125+403974)/1000</f>
        <v>1664.0989999999999</v>
      </c>
      <c r="M29" s="558">
        <f>(678654+400254)/1000</f>
        <v>1078.9079999999999</v>
      </c>
      <c r="N29" s="558">
        <v>0</v>
      </c>
      <c r="O29" s="558">
        <f>(678654+400254)/1000</f>
        <v>1078.9079999999999</v>
      </c>
      <c r="P29" s="560"/>
      <c r="Q29" s="558">
        <v>0</v>
      </c>
      <c r="R29" s="558">
        <v>0</v>
      </c>
    </row>
    <row r="30" spans="2:18" x14ac:dyDescent="0.25">
      <c r="B30" s="546" t="s">
        <v>610</v>
      </c>
      <c r="C30" s="547" t="s">
        <v>596</v>
      </c>
      <c r="D30" s="558">
        <f>(1367498544+893865658)/1000</f>
        <v>2261364.202</v>
      </c>
      <c r="E30" s="558">
        <f>(1278290446+823932032)/1000</f>
        <v>2102222.4780000001</v>
      </c>
      <c r="F30" s="558">
        <f>(89208098+69933626)/1000</f>
        <v>159141.72399999999</v>
      </c>
      <c r="G30" s="558">
        <f>(4675529+17932660)/1000</f>
        <v>22608.188999999998</v>
      </c>
      <c r="H30" s="558">
        <v>0</v>
      </c>
      <c r="I30" s="558">
        <f>(4675529+17932660)/1000</f>
        <v>22608.188999999998</v>
      </c>
      <c r="J30" s="558">
        <f>(4038710+5179110)/1000</f>
        <v>9217.82</v>
      </c>
      <c r="K30" s="558">
        <f>(2221885+3242023)/1000</f>
        <v>5463.9080000000004</v>
      </c>
      <c r="L30" s="558">
        <f>(1816825+1937087)/1000</f>
        <v>3753.9119999999998</v>
      </c>
      <c r="M30" s="558">
        <f>(1861041+2530315)/1000</f>
        <v>4391.3559999999998</v>
      </c>
      <c r="N30" s="558">
        <v>0</v>
      </c>
      <c r="O30" s="558">
        <f>(1861041+2530315)/1000</f>
        <v>4391.3559999999998</v>
      </c>
      <c r="P30" s="560"/>
      <c r="Q30" s="558">
        <v>0</v>
      </c>
      <c r="R30" s="558">
        <v>0</v>
      </c>
    </row>
    <row r="31" spans="2:18" x14ac:dyDescent="0.25">
      <c r="B31" s="548" t="s">
        <v>611</v>
      </c>
      <c r="C31" s="549" t="s">
        <v>0</v>
      </c>
      <c r="D31" s="561">
        <f>+D9+D10+D18+D24</f>
        <v>8676945.4020000007</v>
      </c>
      <c r="E31" s="561">
        <f t="shared" ref="E31:J31" si="0">+E9+E10+E18+E24</f>
        <v>7559655.7450000001</v>
      </c>
      <c r="F31" s="561">
        <f t="shared" si="0"/>
        <v>1117289.656</v>
      </c>
      <c r="G31" s="561">
        <f t="shared" si="0"/>
        <v>271251.29100000003</v>
      </c>
      <c r="H31" s="561">
        <f t="shared" si="0"/>
        <v>0</v>
      </c>
      <c r="I31" s="561">
        <f t="shared" si="0"/>
        <v>271251.29100000003</v>
      </c>
      <c r="J31" s="561">
        <f t="shared" si="0"/>
        <v>-38471</v>
      </c>
      <c r="K31" s="561">
        <f t="shared" ref="K31:L31" si="1">+K9+K10+K18+K24</f>
        <v>-11342</v>
      </c>
      <c r="L31" s="561">
        <f t="shared" si="1"/>
        <v>-27129</v>
      </c>
      <c r="M31" s="561">
        <f>+M9+M10+M18+M24</f>
        <v>-79072</v>
      </c>
      <c r="N31" s="561">
        <f>+N9+N10+N18+N24</f>
        <v>0</v>
      </c>
      <c r="O31" s="561">
        <f>+O9+O10+O18+O24</f>
        <v>-79072</v>
      </c>
      <c r="P31" s="561">
        <f t="shared" ref="P31:R31" si="2">+P9+P10+P18+P24</f>
        <v>0</v>
      </c>
      <c r="Q31" s="561">
        <f t="shared" si="2"/>
        <v>0</v>
      </c>
      <c r="R31" s="561">
        <f t="shared" si="2"/>
        <v>0</v>
      </c>
    </row>
  </sheetData>
  <mergeCells count="11">
    <mergeCell ref="B7:C7"/>
    <mergeCell ref="D6:I6"/>
    <mergeCell ref="J6:O6"/>
    <mergeCell ref="P6:P7"/>
    <mergeCell ref="Q6:R6"/>
    <mergeCell ref="D7:F7"/>
    <mergeCell ref="G7:I7"/>
    <mergeCell ref="J7:L7"/>
    <mergeCell ref="M7:O7"/>
    <mergeCell ref="Q7:Q8"/>
    <mergeCell ref="R7:R8"/>
  </mergeCells>
  <hyperlinks>
    <hyperlink ref="B2" location="Indhold!B21" display="Skema EU CR1: Ikkemisligholdte og misligholdte eksponeringer og dertil knyttede bestemmelser. " xr:uid="{5CC4DE6C-6CC9-4301-AC72-FE8ED32A62F7}"/>
  </hyperlinks>
  <pageMargins left="0.70866141732283472" right="0.70866141732283472" top="0.74803149606299213" bottom="0.74803149606299213" header="0.31496062992125984" footer="0.31496062992125984"/>
  <pageSetup paperSize="9" scale="77" fitToHeight="0" orientation="landscape" r:id="rId1"/>
  <headerFooter>
    <oddHeader>&amp;CDA
Bilag XV</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BADB5-A208-4CE5-A78F-166854033580}">
  <sheetPr>
    <pageSetUpPr fitToPage="1"/>
  </sheetPr>
  <dimension ref="B2:I14"/>
  <sheetViews>
    <sheetView showGridLines="0" zoomScaleNormal="100" workbookViewId="0">
      <selection activeCell="F1" sqref="F1"/>
    </sheetView>
  </sheetViews>
  <sheetFormatPr defaultRowHeight="15" x14ac:dyDescent="0.25"/>
  <cols>
    <col min="1" max="1" width="7.140625" customWidth="1"/>
    <col min="2" max="2" width="6.140625" customWidth="1"/>
    <col min="3" max="3" width="27" customWidth="1"/>
    <col min="4" max="4" width="18.5703125" bestFit="1" customWidth="1"/>
    <col min="5" max="5" width="10.7109375" customWidth="1"/>
    <col min="6" max="6" width="21.85546875" customWidth="1"/>
    <col min="7" max="7" width="13.140625" customWidth="1"/>
    <col min="8" max="8" width="11.42578125" customWidth="1"/>
    <col min="9" max="9" width="10.85546875" customWidth="1"/>
  </cols>
  <sheetData>
    <row r="2" spans="2:9" x14ac:dyDescent="0.25">
      <c r="B2" s="866" t="s">
        <v>612</v>
      </c>
    </row>
    <row r="3" spans="2:9" ht="15" customHeight="1" x14ac:dyDescent="0.3">
      <c r="B3" s="416"/>
    </row>
    <row r="4" spans="2:9" x14ac:dyDescent="0.25">
      <c r="B4" s="177"/>
    </row>
    <row r="5" spans="2:9" x14ac:dyDescent="0.25">
      <c r="B5" s="555"/>
      <c r="C5" s="505"/>
      <c r="D5" s="484" t="s">
        <v>103</v>
      </c>
      <c r="E5" s="484" t="s">
        <v>102</v>
      </c>
      <c r="F5" s="484" t="s">
        <v>97</v>
      </c>
      <c r="G5" s="484" t="s">
        <v>96</v>
      </c>
      <c r="H5" s="484" t="s">
        <v>95</v>
      </c>
      <c r="I5" s="484" t="s">
        <v>111</v>
      </c>
    </row>
    <row r="6" spans="2:9" x14ac:dyDescent="0.25">
      <c r="B6" s="505"/>
      <c r="C6" s="505"/>
      <c r="D6" s="1061" t="s">
        <v>613</v>
      </c>
      <c r="E6" s="1061"/>
      <c r="F6" s="1061"/>
      <c r="G6" s="1061"/>
      <c r="H6" s="1061"/>
      <c r="I6" s="1061"/>
    </row>
    <row r="7" spans="2:9" ht="42" customHeight="1" x14ac:dyDescent="0.25">
      <c r="B7" s="937" t="s">
        <v>1423</v>
      </c>
      <c r="C7" s="1062"/>
      <c r="D7" s="464" t="s">
        <v>614</v>
      </c>
      <c r="E7" s="464" t="s">
        <v>615</v>
      </c>
      <c r="F7" s="464" t="s">
        <v>616</v>
      </c>
      <c r="G7" s="464" t="s">
        <v>617</v>
      </c>
      <c r="H7" s="464" t="s">
        <v>618</v>
      </c>
      <c r="I7" s="464" t="s">
        <v>0</v>
      </c>
    </row>
    <row r="8" spans="2:9" x14ac:dyDescent="0.25">
      <c r="B8" s="132">
        <v>1</v>
      </c>
      <c r="C8" s="179" t="s">
        <v>583</v>
      </c>
      <c r="D8" s="556">
        <v>1169358</v>
      </c>
      <c r="E8" s="556">
        <f>244171+450080</f>
        <v>694251</v>
      </c>
      <c r="F8" s="556">
        <v>1058529</v>
      </c>
      <c r="G8" s="556">
        <v>1184013</v>
      </c>
      <c r="H8" s="556">
        <v>0</v>
      </c>
      <c r="I8" s="556">
        <f>SUM(D8:H8)</f>
        <v>4106151</v>
      </c>
    </row>
    <row r="9" spans="2:9" x14ac:dyDescent="0.25">
      <c r="B9" s="132">
        <v>2</v>
      </c>
      <c r="C9" s="179" t="s">
        <v>598</v>
      </c>
      <c r="D9" s="557">
        <v>0</v>
      </c>
      <c r="E9" s="557">
        <v>0</v>
      </c>
      <c r="F9" s="557">
        <v>0</v>
      </c>
      <c r="G9" s="557">
        <v>0</v>
      </c>
      <c r="H9" s="557">
        <v>0</v>
      </c>
      <c r="I9" s="557">
        <v>0</v>
      </c>
    </row>
    <row r="10" spans="2:9" x14ac:dyDescent="0.25">
      <c r="B10" s="180">
        <v>3</v>
      </c>
      <c r="C10" s="181" t="s">
        <v>0</v>
      </c>
      <c r="D10" s="557">
        <f>SUM(D8:D9)</f>
        <v>1169358</v>
      </c>
      <c r="E10" s="557">
        <f t="shared" ref="E10:I10" si="0">SUM(E8:E9)</f>
        <v>694251</v>
      </c>
      <c r="F10" s="557">
        <f t="shared" si="0"/>
        <v>1058529</v>
      </c>
      <c r="G10" s="557">
        <f t="shared" si="0"/>
        <v>1184013</v>
      </c>
      <c r="H10" s="557">
        <f t="shared" si="0"/>
        <v>0</v>
      </c>
      <c r="I10" s="557">
        <f t="shared" si="0"/>
        <v>4106151</v>
      </c>
    </row>
    <row r="14" spans="2:9" x14ac:dyDescent="0.25">
      <c r="I14" s="353"/>
    </row>
  </sheetData>
  <mergeCells count="2">
    <mergeCell ref="D6:I6"/>
    <mergeCell ref="B7:C7"/>
  </mergeCells>
  <hyperlinks>
    <hyperlink ref="B2" location="Indhold!B24" display="Skema EU CR1-A: Løbetid på eksponeringer" xr:uid="{6C46E22A-AF5C-4F42-8B3B-1FCE3C76B78F}"/>
  </hyperlinks>
  <pageMargins left="0.70866141732283472" right="0.70866141732283472" top="0.74803149606299213" bottom="0.74803149606299213" header="0.31496062992125984" footer="0.31496062992125984"/>
  <pageSetup paperSize="9" orientation="landscape" r:id="rId1"/>
  <headerFooter>
    <oddHeader>&amp;CDA
Bilag XV</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21713-7161-4D22-B3E5-7239387ED030}">
  <sheetPr>
    <pageSetUpPr fitToPage="1"/>
  </sheetPr>
  <dimension ref="B2:E12"/>
  <sheetViews>
    <sheetView showGridLines="0" zoomScaleNormal="100" workbookViewId="0">
      <selection activeCell="F1" sqref="F1"/>
    </sheetView>
  </sheetViews>
  <sheetFormatPr defaultRowHeight="15" x14ac:dyDescent="0.25"/>
  <cols>
    <col min="1" max="1" width="7" customWidth="1"/>
    <col min="2" max="2" width="4.7109375" customWidth="1"/>
    <col min="3" max="3" width="58.5703125" customWidth="1"/>
    <col min="4" max="4" width="27.28515625" customWidth="1"/>
    <col min="6" max="6" width="3.28515625" customWidth="1"/>
  </cols>
  <sheetData>
    <row r="2" spans="2:5" x14ac:dyDescent="0.25">
      <c r="B2" s="866" t="s">
        <v>619</v>
      </c>
      <c r="C2" s="1"/>
      <c r="D2" s="1"/>
    </row>
    <row r="3" spans="2:5" ht="15.75" x14ac:dyDescent="0.25">
      <c r="B3" s="182"/>
      <c r="C3" s="183"/>
      <c r="D3" s="1"/>
      <c r="E3" s="1"/>
    </row>
    <row r="4" spans="2:5" ht="15.75" x14ac:dyDescent="0.25">
      <c r="B4" s="182"/>
      <c r="C4" s="183"/>
      <c r="D4" s="183"/>
      <c r="E4" s="1"/>
    </row>
    <row r="5" spans="2:5" x14ac:dyDescent="0.25">
      <c r="B5" s="441"/>
      <c r="C5" s="440"/>
      <c r="D5" s="464" t="s">
        <v>103</v>
      </c>
      <c r="E5" s="1"/>
    </row>
    <row r="6" spans="2:5" ht="30" x14ac:dyDescent="0.25">
      <c r="B6" s="441" t="s">
        <v>1423</v>
      </c>
      <c r="C6" s="440"/>
      <c r="D6" s="565" t="s">
        <v>620</v>
      </c>
      <c r="E6" s="1"/>
    </row>
    <row r="7" spans="2:5" ht="25.5" customHeight="1" x14ac:dyDescent="0.25">
      <c r="B7" s="566" t="s">
        <v>343</v>
      </c>
      <c r="C7" s="5" t="s">
        <v>621</v>
      </c>
      <c r="D7" s="567">
        <v>253031</v>
      </c>
      <c r="E7" s="1"/>
    </row>
    <row r="8" spans="2:5" ht="25.5" customHeight="1" x14ac:dyDescent="0.25">
      <c r="B8" s="568" t="s">
        <v>349</v>
      </c>
      <c r="C8" s="9" t="s">
        <v>622</v>
      </c>
      <c r="D8" s="567">
        <v>6314</v>
      </c>
      <c r="E8" s="887"/>
    </row>
    <row r="9" spans="2:5" ht="25.5" customHeight="1" x14ac:dyDescent="0.25">
      <c r="B9" s="568" t="s">
        <v>585</v>
      </c>
      <c r="C9" s="9" t="s">
        <v>623</v>
      </c>
      <c r="D9" s="567">
        <v>-20043</v>
      </c>
      <c r="E9" s="1"/>
    </row>
    <row r="10" spans="2:5" ht="25.5" customHeight="1" x14ac:dyDescent="0.25">
      <c r="B10" s="568" t="s">
        <v>587</v>
      </c>
      <c r="C10" s="11" t="s">
        <v>624</v>
      </c>
      <c r="D10" s="567">
        <v>-12982</v>
      </c>
      <c r="E10" s="1"/>
    </row>
    <row r="11" spans="2:5" ht="25.5" customHeight="1" x14ac:dyDescent="0.25">
      <c r="B11" s="568" t="s">
        <v>589</v>
      </c>
      <c r="C11" s="11" t="s">
        <v>625</v>
      </c>
      <c r="D11" s="567">
        <f>+D9-D10</f>
        <v>-7061</v>
      </c>
      <c r="E11" s="1"/>
    </row>
    <row r="12" spans="2:5" ht="25.5" customHeight="1" x14ac:dyDescent="0.25">
      <c r="B12" s="566" t="s">
        <v>591</v>
      </c>
      <c r="C12" s="5" t="s">
        <v>626</v>
      </c>
      <c r="D12" s="567">
        <v>239302</v>
      </c>
      <c r="E12" s="887"/>
    </row>
  </sheetData>
  <hyperlinks>
    <hyperlink ref="B2" location="Indhold!B25" display="Skema EU CR2: Ændringer i beholdningen af misligholdte lån og forskud" xr:uid="{F77C5E72-B802-4A9D-9854-905B38AC6B49}"/>
  </hyperlinks>
  <pageMargins left="0.70866141732283472" right="0.70866141732283472" top="0.74803149606299213" bottom="0.74803149606299213" header="0.31496062992125984" footer="0.31496062992125984"/>
  <pageSetup paperSize="9" orientation="landscape" r:id="rId1"/>
  <headerFooter>
    <oddHeader>&amp;CDA
Bilag XV</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B093C-AF16-473E-BDC2-05FDAFE13494}">
  <dimension ref="B2:G13"/>
  <sheetViews>
    <sheetView showGridLines="0" zoomScaleNormal="100" workbookViewId="0">
      <selection activeCell="B10" sqref="B10"/>
    </sheetView>
  </sheetViews>
  <sheetFormatPr defaultRowHeight="15" x14ac:dyDescent="0.25"/>
  <cols>
    <col min="2" max="2" width="11.7109375" customWidth="1"/>
    <col min="3" max="3" width="8.42578125" customWidth="1"/>
    <col min="4" max="4" width="24.7109375" customWidth="1"/>
    <col min="7" max="7" width="14.140625" customWidth="1"/>
  </cols>
  <sheetData>
    <row r="2" spans="2:7" ht="18.75" x14ac:dyDescent="0.3">
      <c r="B2" s="759" t="s">
        <v>1237</v>
      </c>
      <c r="C2" s="759"/>
      <c r="D2" s="86"/>
    </row>
    <row r="3" spans="2:7" ht="18.75" x14ac:dyDescent="0.3">
      <c r="B3" s="759"/>
      <c r="C3" s="759"/>
      <c r="D3" s="86"/>
    </row>
    <row r="5" spans="2:7" ht="18.75" x14ac:dyDescent="0.3">
      <c r="B5" s="86"/>
      <c r="C5" s="86"/>
    </row>
    <row r="6" spans="2:7" ht="149.25" customHeight="1" x14ac:dyDescent="0.25">
      <c r="B6" s="929" t="s">
        <v>1585</v>
      </c>
      <c r="C6" s="929"/>
      <c r="D6" s="930"/>
      <c r="E6" s="930"/>
      <c r="F6" s="930"/>
      <c r="G6" s="930"/>
    </row>
    <row r="7" spans="2:7" x14ac:dyDescent="0.25">
      <c r="B7" s="765"/>
      <c r="C7" s="765"/>
    </row>
    <row r="8" spans="2:7" x14ac:dyDescent="0.25">
      <c r="B8" s="766"/>
      <c r="C8" s="766"/>
    </row>
    <row r="9" spans="2:7" ht="15.75" x14ac:dyDescent="0.25">
      <c r="B9" s="761" t="s">
        <v>1586</v>
      </c>
      <c r="C9" s="761"/>
    </row>
    <row r="10" spans="2:7" ht="15.75" x14ac:dyDescent="0.25">
      <c r="B10" s="761"/>
      <c r="C10" s="761"/>
    </row>
    <row r="11" spans="2:7" ht="15.75" x14ac:dyDescent="0.25">
      <c r="B11" s="761"/>
      <c r="C11" s="761"/>
    </row>
    <row r="12" spans="2:7" ht="15.75" x14ac:dyDescent="0.25">
      <c r="B12" s="761" t="s">
        <v>1497</v>
      </c>
      <c r="C12" s="761"/>
    </row>
    <row r="13" spans="2:7" ht="15.75" x14ac:dyDescent="0.25">
      <c r="B13" s="761" t="s">
        <v>1487</v>
      </c>
      <c r="C13" s="761"/>
    </row>
  </sheetData>
  <mergeCells count="1">
    <mergeCell ref="B6:G6"/>
  </mergeCells>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F2B44-664C-4AB2-A7F3-4DC81BC740EE}">
  <sheetPr>
    <pageSetUpPr fitToPage="1"/>
  </sheetPr>
  <dimension ref="B2:K19"/>
  <sheetViews>
    <sheetView showGridLines="0" zoomScaleNormal="100" workbookViewId="0">
      <selection activeCell="F1" sqref="F1"/>
    </sheetView>
  </sheetViews>
  <sheetFormatPr defaultRowHeight="15" x14ac:dyDescent="0.25"/>
  <cols>
    <col min="3" max="3" width="59.140625" bestFit="1" customWidth="1"/>
    <col min="5" max="5" width="8" bestFit="1" customWidth="1"/>
    <col min="8" max="8" width="14.42578125" customWidth="1"/>
    <col min="9" max="9" width="17" customWidth="1"/>
    <col min="10" max="10" width="17.85546875" customWidth="1"/>
    <col min="11" max="11" width="18.5703125" customWidth="1"/>
  </cols>
  <sheetData>
    <row r="2" spans="2:11" x14ac:dyDescent="0.25">
      <c r="B2" s="866" t="s">
        <v>636</v>
      </c>
    </row>
    <row r="3" spans="2:11" ht="15.75" x14ac:dyDescent="0.25">
      <c r="B3" s="164"/>
      <c r="C3" s="165"/>
      <c r="D3" s="165"/>
      <c r="E3" s="165"/>
      <c r="F3" s="165"/>
      <c r="G3" s="165"/>
      <c r="H3" s="165"/>
      <c r="I3" s="165"/>
      <c r="J3" s="165"/>
      <c r="K3" s="165"/>
    </row>
    <row r="4" spans="2:11" ht="15.75" x14ac:dyDescent="0.25">
      <c r="B4" s="164"/>
      <c r="C4" s="816"/>
      <c r="D4" s="816"/>
      <c r="E4" s="816"/>
      <c r="F4" s="816"/>
      <c r="G4" s="816"/>
      <c r="H4" s="816"/>
      <c r="I4" s="816"/>
      <c r="J4" s="816"/>
      <c r="K4" s="816"/>
    </row>
    <row r="5" spans="2:11" ht="23.25" customHeight="1" x14ac:dyDescent="0.25">
      <c r="B5" s="540"/>
      <c r="C5" s="540"/>
      <c r="D5" s="562" t="s">
        <v>103</v>
      </c>
      <c r="E5" s="562" t="s">
        <v>102</v>
      </c>
      <c r="F5" s="562" t="s">
        <v>97</v>
      </c>
      <c r="G5" s="562" t="s">
        <v>96</v>
      </c>
      <c r="H5" s="562" t="s">
        <v>95</v>
      </c>
      <c r="I5" s="562" t="s">
        <v>111</v>
      </c>
      <c r="J5" s="562" t="s">
        <v>112</v>
      </c>
      <c r="K5" s="562" t="s">
        <v>164</v>
      </c>
    </row>
    <row r="6" spans="2:11" ht="49.5" customHeight="1" x14ac:dyDescent="0.25">
      <c r="B6" s="540"/>
      <c r="C6" s="540"/>
      <c r="D6" s="1063" t="s">
        <v>637</v>
      </c>
      <c r="E6" s="1063"/>
      <c r="F6" s="1063"/>
      <c r="G6" s="1063"/>
      <c r="H6" s="1063" t="s">
        <v>572</v>
      </c>
      <c r="I6" s="1063"/>
      <c r="J6" s="1063" t="s">
        <v>638</v>
      </c>
      <c r="K6" s="1063"/>
    </row>
    <row r="7" spans="2:11" ht="30" customHeight="1" x14ac:dyDescent="0.25">
      <c r="B7" s="540"/>
      <c r="C7" s="540"/>
      <c r="D7" s="1064" t="s">
        <v>1593</v>
      </c>
      <c r="E7" s="1066" t="s">
        <v>1594</v>
      </c>
      <c r="F7" s="1066"/>
      <c r="G7" s="1066"/>
      <c r="H7" s="1067" t="s">
        <v>639</v>
      </c>
      <c r="I7" s="1067" t="s">
        <v>640</v>
      </c>
      <c r="J7" s="569"/>
      <c r="K7" s="1067" t="s">
        <v>641</v>
      </c>
    </row>
    <row r="8" spans="2:11" ht="66.75" customHeight="1" x14ac:dyDescent="0.25">
      <c r="B8" s="441" t="s">
        <v>1423</v>
      </c>
      <c r="C8" s="540"/>
      <c r="D8" s="1065"/>
      <c r="E8" s="570"/>
      <c r="F8" s="563" t="s">
        <v>1255</v>
      </c>
      <c r="G8" s="571" t="s">
        <v>1256</v>
      </c>
      <c r="H8" s="1068"/>
      <c r="I8" s="1068"/>
      <c r="J8" s="572"/>
      <c r="K8" s="1068"/>
    </row>
    <row r="9" spans="2:11" x14ac:dyDescent="0.25">
      <c r="B9" s="573" t="s">
        <v>581</v>
      </c>
      <c r="C9" s="574" t="s">
        <v>582</v>
      </c>
      <c r="D9" s="575">
        <v>0</v>
      </c>
      <c r="E9" s="575">
        <v>0</v>
      </c>
      <c r="F9" s="575">
        <v>0</v>
      </c>
      <c r="G9" s="575">
        <v>0</v>
      </c>
      <c r="H9" s="575">
        <v>0</v>
      </c>
      <c r="I9" s="575">
        <v>0</v>
      </c>
      <c r="J9" s="575">
        <v>0</v>
      </c>
      <c r="K9" s="576">
        <v>0</v>
      </c>
    </row>
    <row r="10" spans="2:11" x14ac:dyDescent="0.25">
      <c r="B10" s="573" t="s">
        <v>343</v>
      </c>
      <c r="C10" s="574" t="s">
        <v>583</v>
      </c>
      <c r="D10" s="575">
        <v>0</v>
      </c>
      <c r="E10" s="575">
        <f>42336935/1000</f>
        <v>42336.934999999998</v>
      </c>
      <c r="F10" s="575">
        <f>42336935/1000</f>
        <v>42336.934999999998</v>
      </c>
      <c r="G10" s="575">
        <f>39990997/1000</f>
        <v>39990.997000000003</v>
      </c>
      <c r="H10" s="575">
        <v>0</v>
      </c>
      <c r="I10" s="575">
        <f>-29325391/1000</f>
        <v>-29325.391</v>
      </c>
      <c r="J10" s="575">
        <v>0</v>
      </c>
      <c r="K10" s="576">
        <v>0</v>
      </c>
    </row>
    <row r="11" spans="2:11" x14ac:dyDescent="0.25">
      <c r="B11" s="577" t="s">
        <v>349</v>
      </c>
      <c r="C11" s="578" t="s">
        <v>584</v>
      </c>
      <c r="D11" s="575">
        <v>0</v>
      </c>
      <c r="E11" s="575">
        <v>0</v>
      </c>
      <c r="F11" s="575">
        <v>0</v>
      </c>
      <c r="G11" s="575">
        <v>0</v>
      </c>
      <c r="H11" s="575">
        <v>0</v>
      </c>
      <c r="I11" s="575">
        <v>0</v>
      </c>
      <c r="J11" s="575">
        <v>0</v>
      </c>
      <c r="K11" s="576">
        <v>0</v>
      </c>
    </row>
    <row r="12" spans="2:11" x14ac:dyDescent="0.25">
      <c r="B12" s="577" t="s">
        <v>585</v>
      </c>
      <c r="C12" s="578" t="s">
        <v>586</v>
      </c>
      <c r="D12" s="575">
        <v>0</v>
      </c>
      <c r="E12" s="575">
        <v>0</v>
      </c>
      <c r="F12" s="575">
        <v>0</v>
      </c>
      <c r="G12" s="575">
        <v>0</v>
      </c>
      <c r="H12" s="575">
        <v>0</v>
      </c>
      <c r="I12" s="575">
        <v>0</v>
      </c>
      <c r="J12" s="575">
        <v>0</v>
      </c>
      <c r="K12" s="576">
        <v>0</v>
      </c>
    </row>
    <row r="13" spans="2:11" x14ac:dyDescent="0.25">
      <c r="B13" s="577" t="s">
        <v>587</v>
      </c>
      <c r="C13" s="578" t="s">
        <v>588</v>
      </c>
      <c r="D13" s="575">
        <v>0</v>
      </c>
      <c r="E13" s="575">
        <v>0</v>
      </c>
      <c r="F13" s="575">
        <v>0</v>
      </c>
      <c r="G13" s="575">
        <v>0</v>
      </c>
      <c r="H13" s="575">
        <v>0</v>
      </c>
      <c r="I13" s="575">
        <v>0</v>
      </c>
      <c r="J13" s="575">
        <v>0</v>
      </c>
      <c r="K13" s="576">
        <v>0</v>
      </c>
    </row>
    <row r="14" spans="2:11" x14ac:dyDescent="0.25">
      <c r="B14" s="577" t="s">
        <v>589</v>
      </c>
      <c r="C14" s="578" t="s">
        <v>590</v>
      </c>
      <c r="D14" s="575">
        <v>0</v>
      </c>
      <c r="E14" s="575">
        <v>0</v>
      </c>
      <c r="F14" s="575">
        <v>0</v>
      </c>
      <c r="G14" s="575">
        <v>0</v>
      </c>
      <c r="H14" s="575">
        <v>0</v>
      </c>
      <c r="I14" s="575">
        <v>0</v>
      </c>
      <c r="J14" s="575">
        <v>0</v>
      </c>
      <c r="K14" s="576">
        <v>0</v>
      </c>
    </row>
    <row r="15" spans="2:11" x14ac:dyDescent="0.25">
      <c r="B15" s="577" t="s">
        <v>591</v>
      </c>
      <c r="C15" s="578" t="s">
        <v>592</v>
      </c>
      <c r="D15" s="575">
        <v>0</v>
      </c>
      <c r="E15" s="575">
        <f>27107968/1000</f>
        <v>27107.968000000001</v>
      </c>
      <c r="F15" s="575">
        <f>24107968/1000</f>
        <v>24107.968000000001</v>
      </c>
      <c r="G15" s="575">
        <f>24055034/1000</f>
        <v>24055.034</v>
      </c>
      <c r="H15" s="575">
        <v>0</v>
      </c>
      <c r="I15" s="575">
        <f>-16626177/1000</f>
        <v>-16626.177</v>
      </c>
      <c r="J15" s="575">
        <v>0</v>
      </c>
      <c r="K15" s="576">
        <v>0</v>
      </c>
    </row>
    <row r="16" spans="2:11" x14ac:dyDescent="0.25">
      <c r="B16" s="577" t="s">
        <v>593</v>
      </c>
      <c r="C16" s="578" t="s">
        <v>596</v>
      </c>
      <c r="D16" s="575">
        <v>0</v>
      </c>
      <c r="E16" s="575">
        <f>18228966/1000</f>
        <v>18228.966</v>
      </c>
      <c r="F16" s="575">
        <f>18228966/1000</f>
        <v>18228.966</v>
      </c>
      <c r="G16" s="575">
        <f>15935963/1000</f>
        <v>15935.963</v>
      </c>
      <c r="H16" s="575">
        <v>0</v>
      </c>
      <c r="I16" s="575">
        <f>-12699214/1000</f>
        <v>-12699.214</v>
      </c>
      <c r="J16" s="575">
        <v>0</v>
      </c>
      <c r="K16" s="576">
        <v>0</v>
      </c>
    </row>
    <row r="17" spans="2:11" x14ac:dyDescent="0.25">
      <c r="B17" s="573" t="s">
        <v>595</v>
      </c>
      <c r="C17" s="574" t="s">
        <v>598</v>
      </c>
      <c r="D17" s="575">
        <v>0</v>
      </c>
      <c r="E17" s="575">
        <v>0</v>
      </c>
      <c r="F17" s="575">
        <v>0</v>
      </c>
      <c r="G17" s="575">
        <v>0</v>
      </c>
      <c r="H17" s="575">
        <v>0</v>
      </c>
      <c r="I17" s="575">
        <v>0</v>
      </c>
      <c r="J17" s="575">
        <v>0</v>
      </c>
      <c r="K17" s="576">
        <v>0</v>
      </c>
    </row>
    <row r="18" spans="2:11" x14ac:dyDescent="0.25">
      <c r="B18" s="573" t="s">
        <v>597</v>
      </c>
      <c r="C18" s="574" t="s">
        <v>642</v>
      </c>
      <c r="D18" s="575">
        <v>0</v>
      </c>
      <c r="E18" s="575">
        <v>0</v>
      </c>
      <c r="F18" s="575">
        <v>0</v>
      </c>
      <c r="G18" s="575">
        <v>0</v>
      </c>
      <c r="H18" s="575">
        <v>0</v>
      </c>
      <c r="I18" s="575">
        <v>0</v>
      </c>
      <c r="J18" s="575">
        <v>0</v>
      </c>
      <c r="K18" s="576">
        <v>0</v>
      </c>
    </row>
    <row r="19" spans="2:11" x14ac:dyDescent="0.25">
      <c r="B19" s="579">
        <v>100</v>
      </c>
      <c r="C19" s="580" t="s">
        <v>0</v>
      </c>
      <c r="D19" s="575">
        <f>+D9+D10+D17+D18</f>
        <v>0</v>
      </c>
      <c r="E19" s="575">
        <f t="shared" ref="E19:K19" si="0">+E9+E10+E17+E18</f>
        <v>42336.934999999998</v>
      </c>
      <c r="F19" s="575">
        <f t="shared" si="0"/>
        <v>42336.934999999998</v>
      </c>
      <c r="G19" s="575">
        <f t="shared" si="0"/>
        <v>39990.997000000003</v>
      </c>
      <c r="H19" s="575">
        <f t="shared" si="0"/>
        <v>0</v>
      </c>
      <c r="I19" s="575">
        <f t="shared" si="0"/>
        <v>-29325.391</v>
      </c>
      <c r="J19" s="575">
        <f t="shared" si="0"/>
        <v>0</v>
      </c>
      <c r="K19" s="576">
        <f t="shared" si="0"/>
        <v>0</v>
      </c>
    </row>
  </sheetData>
  <mergeCells count="8">
    <mergeCell ref="D6:G6"/>
    <mergeCell ref="H6:I6"/>
    <mergeCell ref="J6:K6"/>
    <mergeCell ref="D7:D8"/>
    <mergeCell ref="E7:G7"/>
    <mergeCell ref="H7:H8"/>
    <mergeCell ref="I7:I8"/>
    <mergeCell ref="K7:K8"/>
  </mergeCells>
  <hyperlinks>
    <hyperlink ref="B2" location="Indhold!B26" display="Skema EU CQ1: Kreditkvalitet af eksponeringer med kreditlempelser" xr:uid="{BBA3887F-8B8E-4654-8B84-7A58E9BAB141}"/>
  </hyperlinks>
  <pageMargins left="0.70866141732283472" right="0.70866141732283472" top="0.74803149606299213" bottom="0.74803149606299213" header="0.31496062992125984" footer="0.31496062992125984"/>
  <pageSetup paperSize="9" scale="93" fitToHeight="0" orientation="landscape" r:id="rId1"/>
  <headerFooter>
    <oddHeader>&amp;CDA
Bilag XV</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82A46-853D-4539-8D76-A61C69D62029}">
  <sheetPr>
    <pageSetUpPr fitToPage="1"/>
  </sheetPr>
  <dimension ref="B2:O33"/>
  <sheetViews>
    <sheetView showGridLines="0" zoomScaleNormal="100" workbookViewId="0">
      <selection activeCell="F1" sqref="F1"/>
    </sheetView>
  </sheetViews>
  <sheetFormatPr defaultRowHeight="15" x14ac:dyDescent="0.25"/>
  <cols>
    <col min="3" max="3" width="24.85546875" customWidth="1"/>
    <col min="4" max="5" width="10.5703125" bestFit="1" customWidth="1"/>
    <col min="6" max="7" width="9.28515625" bestFit="1" customWidth="1"/>
    <col min="8" max="8" width="11" customWidth="1"/>
    <col min="9" max="15" width="9.28515625" bestFit="1" customWidth="1"/>
  </cols>
  <sheetData>
    <row r="2" spans="2:15" x14ac:dyDescent="0.25">
      <c r="B2" s="866" t="s">
        <v>647</v>
      </c>
    </row>
    <row r="3" spans="2:15" ht="15.75" x14ac:dyDescent="0.25">
      <c r="B3" s="164"/>
      <c r="C3" s="165"/>
      <c r="D3" s="165"/>
      <c r="E3" s="165"/>
      <c r="F3" s="165"/>
      <c r="G3" s="165"/>
      <c r="H3" s="165"/>
      <c r="I3" s="165"/>
      <c r="K3" s="165"/>
      <c r="L3" s="165"/>
      <c r="M3" s="165"/>
      <c r="N3" s="165"/>
      <c r="O3" s="165"/>
    </row>
    <row r="4" spans="2:15" ht="15.75" x14ac:dyDescent="0.25">
      <c r="B4" s="164"/>
      <c r="C4" s="816"/>
      <c r="D4" s="816"/>
      <c r="E4" s="816"/>
      <c r="F4" s="816"/>
      <c r="G4" s="816"/>
      <c r="H4" s="816"/>
      <c r="I4" s="816"/>
      <c r="J4" s="816"/>
      <c r="K4" s="816"/>
      <c r="L4" s="816"/>
      <c r="M4" s="816"/>
      <c r="N4" s="816"/>
      <c r="O4" s="816"/>
    </row>
    <row r="5" spans="2:15" ht="15.75" x14ac:dyDescent="0.25">
      <c r="B5" s="540"/>
      <c r="C5" s="540"/>
      <c r="D5" s="562" t="s">
        <v>103</v>
      </c>
      <c r="E5" s="562" t="s">
        <v>102</v>
      </c>
      <c r="F5" s="562" t="s">
        <v>97</v>
      </c>
      <c r="G5" s="562" t="s">
        <v>96</v>
      </c>
      <c r="H5" s="562" t="s">
        <v>95</v>
      </c>
      <c r="I5" s="562" t="s">
        <v>111</v>
      </c>
      <c r="J5" s="562" t="s">
        <v>112</v>
      </c>
      <c r="K5" s="562" t="s">
        <v>164</v>
      </c>
      <c r="L5" s="562" t="s">
        <v>323</v>
      </c>
      <c r="M5" s="562" t="s">
        <v>324</v>
      </c>
      <c r="N5" s="562" t="s">
        <v>325</v>
      </c>
      <c r="O5" s="562" t="s">
        <v>326</v>
      </c>
    </row>
    <row r="6" spans="2:15" ht="15.75" x14ac:dyDescent="0.25">
      <c r="B6" s="540"/>
      <c r="C6" s="540"/>
      <c r="D6" s="1073" t="s">
        <v>571</v>
      </c>
      <c r="E6" s="1074"/>
      <c r="F6" s="1074"/>
      <c r="G6" s="1074"/>
      <c r="H6" s="1074"/>
      <c r="I6" s="1074"/>
      <c r="J6" s="1074"/>
      <c r="K6" s="1074"/>
      <c r="L6" s="1074"/>
      <c r="M6" s="1074"/>
      <c r="N6" s="1074"/>
      <c r="O6" s="1075"/>
    </row>
    <row r="7" spans="2:15" ht="15.75" x14ac:dyDescent="0.25">
      <c r="B7" s="540"/>
      <c r="C7" s="540"/>
      <c r="D7" s="1076" t="s">
        <v>575</v>
      </c>
      <c r="E7" s="1077"/>
      <c r="F7" s="1078"/>
      <c r="G7" s="1076" t="s">
        <v>484</v>
      </c>
      <c r="H7" s="1077"/>
      <c r="I7" s="1077"/>
      <c r="J7" s="1077"/>
      <c r="K7" s="1077"/>
      <c r="L7" s="1077"/>
      <c r="M7" s="1077"/>
      <c r="N7" s="1077"/>
      <c r="O7" s="1078"/>
    </row>
    <row r="8" spans="2:15" x14ac:dyDescent="0.25">
      <c r="B8" s="1069"/>
      <c r="C8" s="1070"/>
      <c r="D8" s="1071"/>
      <c r="E8" s="1064" t="s">
        <v>1257</v>
      </c>
      <c r="F8" s="1064" t="s">
        <v>648</v>
      </c>
      <c r="G8" s="1066"/>
      <c r="H8" s="1064" t="s">
        <v>649</v>
      </c>
      <c r="I8" s="1064" t="s">
        <v>650</v>
      </c>
      <c r="J8" s="1064" t="s">
        <v>651</v>
      </c>
      <c r="K8" s="1064" t="s">
        <v>652</v>
      </c>
      <c r="L8" s="1064" t="s">
        <v>653</v>
      </c>
      <c r="M8" s="1064" t="s">
        <v>654</v>
      </c>
      <c r="N8" s="1064" t="s">
        <v>655</v>
      </c>
      <c r="O8" s="1064" t="s">
        <v>1255</v>
      </c>
    </row>
    <row r="9" spans="2:15" x14ac:dyDescent="0.25">
      <c r="B9" s="1069"/>
      <c r="C9" s="1070"/>
      <c r="D9" s="1071"/>
      <c r="E9" s="1065"/>
      <c r="F9" s="1065"/>
      <c r="G9" s="1066"/>
      <c r="H9" s="1065"/>
      <c r="I9" s="1065"/>
      <c r="J9" s="1065"/>
      <c r="K9" s="1065"/>
      <c r="L9" s="1065"/>
      <c r="M9" s="1065"/>
      <c r="N9" s="1065"/>
      <c r="O9" s="1065"/>
    </row>
    <row r="10" spans="2:15" ht="66" customHeight="1" x14ac:dyDescent="0.25">
      <c r="B10" s="441" t="s">
        <v>1423</v>
      </c>
      <c r="C10" s="540"/>
      <c r="D10" s="593"/>
      <c r="E10" s="1072"/>
      <c r="F10" s="1072"/>
      <c r="G10" s="1066"/>
      <c r="H10" s="1072"/>
      <c r="I10" s="1072"/>
      <c r="J10" s="1072"/>
      <c r="K10" s="1072"/>
      <c r="L10" s="1072"/>
      <c r="M10" s="1072"/>
      <c r="N10" s="1072"/>
      <c r="O10" s="1072"/>
    </row>
    <row r="11" spans="2:15" ht="45" x14ac:dyDescent="0.25">
      <c r="B11" s="581" t="s">
        <v>581</v>
      </c>
      <c r="C11" s="582" t="s">
        <v>582</v>
      </c>
      <c r="D11" s="583">
        <f>849093505/1000</f>
        <v>849093.505</v>
      </c>
      <c r="E11" s="583">
        <f>893093505/1000</f>
        <v>893093.505</v>
      </c>
      <c r="F11" s="583">
        <v>0</v>
      </c>
      <c r="G11" s="583">
        <v>0</v>
      </c>
      <c r="H11" s="583">
        <v>0</v>
      </c>
      <c r="I11" s="583">
        <v>0</v>
      </c>
      <c r="J11" s="583">
        <v>0</v>
      </c>
      <c r="K11" s="583">
        <v>0</v>
      </c>
      <c r="L11" s="583">
        <v>0</v>
      </c>
      <c r="M11" s="583">
        <v>0</v>
      </c>
      <c r="N11" s="583">
        <v>0</v>
      </c>
      <c r="O11" s="583">
        <v>0</v>
      </c>
    </row>
    <row r="12" spans="2:15" x14ac:dyDescent="0.25">
      <c r="B12" s="581" t="s">
        <v>343</v>
      </c>
      <c r="C12" s="582" t="s">
        <v>583</v>
      </c>
      <c r="D12" s="583">
        <f>4006047001/1000</f>
        <v>4006047.0010000002</v>
      </c>
      <c r="E12" s="583">
        <f>3975819326/1000</f>
        <v>3975819.3259999999</v>
      </c>
      <c r="F12" s="583">
        <f>30227675/1000</f>
        <v>30227.674999999999</v>
      </c>
      <c r="G12" s="584">
        <f>239302000/1000</f>
        <v>239302</v>
      </c>
      <c r="H12" s="583">
        <f>235491169/1000</f>
        <v>235491.16899999999</v>
      </c>
      <c r="I12" s="583">
        <f>1436819/1000</f>
        <v>1436.819</v>
      </c>
      <c r="J12" s="583">
        <f>1361942/1000</f>
        <v>1361.942</v>
      </c>
      <c r="K12" s="583">
        <f>701252/1000</f>
        <v>701.25199999999995</v>
      </c>
      <c r="L12" s="583">
        <f>309018/1000</f>
        <v>309.01799999999997</v>
      </c>
      <c r="M12" s="583">
        <v>1.8</v>
      </c>
      <c r="N12" s="583">
        <v>0</v>
      </c>
      <c r="O12" s="584">
        <f>239302000/1000</f>
        <v>239302</v>
      </c>
    </row>
    <row r="13" spans="2:15" x14ac:dyDescent="0.25">
      <c r="B13" s="585" t="s">
        <v>349</v>
      </c>
      <c r="C13" s="586" t="s">
        <v>584</v>
      </c>
      <c r="D13" s="583">
        <v>0</v>
      </c>
      <c r="E13" s="583">
        <v>0</v>
      </c>
      <c r="F13" s="583">
        <v>0</v>
      </c>
      <c r="G13" s="587">
        <v>0</v>
      </c>
      <c r="H13" s="583">
        <v>0</v>
      </c>
      <c r="I13" s="583">
        <v>0</v>
      </c>
      <c r="J13" s="583">
        <v>0</v>
      </c>
      <c r="K13" s="583">
        <v>0</v>
      </c>
      <c r="L13" s="583">
        <v>0</v>
      </c>
      <c r="M13" s="583">
        <v>0</v>
      </c>
      <c r="N13" s="583">
        <v>0</v>
      </c>
      <c r="O13" s="583">
        <v>0</v>
      </c>
    </row>
    <row r="14" spans="2:15" x14ac:dyDescent="0.25">
      <c r="B14" s="585" t="s">
        <v>585</v>
      </c>
      <c r="C14" s="586" t="s">
        <v>586</v>
      </c>
      <c r="D14" s="583">
        <v>15.984999999999999</v>
      </c>
      <c r="E14" s="583">
        <f>15985000/1000</f>
        <v>15985</v>
      </c>
      <c r="F14" s="583">
        <v>0</v>
      </c>
      <c r="G14" s="587">
        <v>0</v>
      </c>
      <c r="H14" s="583">
        <v>0</v>
      </c>
      <c r="I14" s="583">
        <v>0</v>
      </c>
      <c r="J14" s="583">
        <v>0</v>
      </c>
      <c r="K14" s="583">
        <v>0</v>
      </c>
      <c r="L14" s="583">
        <v>0</v>
      </c>
      <c r="M14" s="583">
        <v>0</v>
      </c>
      <c r="N14" s="583">
        <v>0</v>
      </c>
      <c r="O14" s="583">
        <v>0</v>
      </c>
    </row>
    <row r="15" spans="2:15" x14ac:dyDescent="0.25">
      <c r="B15" s="585" t="s">
        <v>587</v>
      </c>
      <c r="C15" s="586" t="s">
        <v>588</v>
      </c>
      <c r="D15" s="583">
        <v>0</v>
      </c>
      <c r="E15" s="583">
        <v>0</v>
      </c>
      <c r="F15" s="583">
        <v>0</v>
      </c>
      <c r="G15" s="587">
        <v>0</v>
      </c>
      <c r="H15" s="583">
        <v>0</v>
      </c>
      <c r="I15" s="583">
        <v>0</v>
      </c>
      <c r="J15" s="583">
        <v>0</v>
      </c>
      <c r="K15" s="583">
        <v>0</v>
      </c>
      <c r="L15" s="583">
        <v>0</v>
      </c>
      <c r="M15" s="583">
        <v>0</v>
      </c>
      <c r="N15" s="583">
        <v>0</v>
      </c>
      <c r="O15" s="583">
        <v>0</v>
      </c>
    </row>
    <row r="16" spans="2:15" x14ac:dyDescent="0.25">
      <c r="B16" s="585" t="s">
        <v>589</v>
      </c>
      <c r="C16" s="586" t="s">
        <v>590</v>
      </c>
      <c r="D16" s="583">
        <f>777935313/1000</f>
        <v>777935.31299999997</v>
      </c>
      <c r="E16" s="583">
        <f>777922490/1000</f>
        <v>777922.49</v>
      </c>
      <c r="F16" s="583">
        <v>12.824</v>
      </c>
      <c r="G16" s="559">
        <f>4345470/1000</f>
        <v>4345.47</v>
      </c>
      <c r="H16" s="583">
        <f>4330690/1000</f>
        <v>4330.6899999999996</v>
      </c>
      <c r="I16" s="583">
        <v>3.3450000000000002</v>
      </c>
      <c r="J16" s="583">
        <v>11.435</v>
      </c>
      <c r="K16" s="583">
        <v>7.4240000000000004</v>
      </c>
      <c r="L16" s="583">
        <v>0</v>
      </c>
      <c r="M16" s="583">
        <v>0</v>
      </c>
      <c r="N16" s="583">
        <v>0</v>
      </c>
      <c r="O16" s="559">
        <f>4345470/1000</f>
        <v>4345.47</v>
      </c>
    </row>
    <row r="17" spans="2:15" x14ac:dyDescent="0.25">
      <c r="B17" s="585" t="s">
        <v>591</v>
      </c>
      <c r="C17" s="586" t="s">
        <v>592</v>
      </c>
      <c r="D17" s="583">
        <f>1569236601/1000</f>
        <v>1569236.601</v>
      </c>
      <c r="E17" s="583">
        <f>1541925607/1000</f>
        <v>1541925.6070000001</v>
      </c>
      <c r="F17" s="583">
        <f>27310994/1000</f>
        <v>27310.993999999999</v>
      </c>
      <c r="G17" s="559">
        <f>134308398/1000</f>
        <v>134308.39799999999</v>
      </c>
      <c r="H17" s="583">
        <f>134249398/1000</f>
        <v>134249.39799999999</v>
      </c>
      <c r="I17" s="583">
        <v>4.5410000000000004</v>
      </c>
      <c r="J17" s="583">
        <v>20.963999999999999</v>
      </c>
      <c r="K17" s="583">
        <v>0</v>
      </c>
      <c r="L17" s="583">
        <v>31.696000000000002</v>
      </c>
      <c r="M17" s="583">
        <v>1.8</v>
      </c>
      <c r="N17" s="583">
        <v>0</v>
      </c>
      <c r="O17" s="559">
        <f>50817963/1000</f>
        <v>50817.963000000003</v>
      </c>
    </row>
    <row r="18" spans="2:15" x14ac:dyDescent="0.25">
      <c r="B18" s="585" t="s">
        <v>593</v>
      </c>
      <c r="C18" s="586" t="s">
        <v>656</v>
      </c>
      <c r="D18" s="583">
        <f>1569236601/1000</f>
        <v>1569236.601</v>
      </c>
      <c r="E18" s="583">
        <f>1541925607/1000</f>
        <v>1541925.6070000001</v>
      </c>
      <c r="F18" s="583">
        <f>27310994/1000</f>
        <v>27310.993999999999</v>
      </c>
      <c r="G18" s="559">
        <f>134308398/1000</f>
        <v>134308.39799999999</v>
      </c>
      <c r="H18" s="583">
        <f>134249398/1000</f>
        <v>134249.39799999999</v>
      </c>
      <c r="I18" s="583">
        <v>4.5410000000000004</v>
      </c>
      <c r="J18" s="583">
        <v>20.963999999999999</v>
      </c>
      <c r="K18" s="583">
        <v>0</v>
      </c>
      <c r="L18" s="583">
        <v>31.696000000000002</v>
      </c>
      <c r="M18" s="583">
        <v>1.8</v>
      </c>
      <c r="N18" s="583">
        <v>0</v>
      </c>
      <c r="O18" s="559">
        <f>50817963/1000</f>
        <v>50817.963000000003</v>
      </c>
    </row>
    <row r="19" spans="2:15" x14ac:dyDescent="0.25">
      <c r="B19" s="585" t="s">
        <v>595</v>
      </c>
      <c r="C19" s="586" t="s">
        <v>596</v>
      </c>
      <c r="D19" s="583">
        <f>1658859102/1000</f>
        <v>1658859.102</v>
      </c>
      <c r="E19" s="583">
        <f>1655955244/1000</f>
        <v>1655955.2439999999</v>
      </c>
      <c r="F19" s="583">
        <f>2903858/1000</f>
        <v>2903.8580000000002</v>
      </c>
      <c r="G19" s="559">
        <f>100648132/1000</f>
        <v>100648.132</v>
      </c>
      <c r="H19" s="583">
        <f>96911081/1000</f>
        <v>96911.081000000006</v>
      </c>
      <c r="I19" s="583">
        <f>1428933/1000</f>
        <v>1428.933</v>
      </c>
      <c r="J19" s="583">
        <f>1329544/1000</f>
        <v>1329.5440000000001</v>
      </c>
      <c r="K19" s="583">
        <f>701252/1000</f>
        <v>701.25199999999995</v>
      </c>
      <c r="L19" s="583">
        <f>277323/1000</f>
        <v>277.32299999999998</v>
      </c>
      <c r="M19" s="583">
        <v>0</v>
      </c>
      <c r="N19" s="583">
        <v>0</v>
      </c>
      <c r="O19" s="559">
        <f>100648132/1000</f>
        <v>100648.132</v>
      </c>
    </row>
    <row r="20" spans="2:15" x14ac:dyDescent="0.25">
      <c r="B20" s="581" t="s">
        <v>597</v>
      </c>
      <c r="C20" s="582" t="s">
        <v>598</v>
      </c>
      <c r="D20" s="583">
        <v>0</v>
      </c>
      <c r="E20" s="583">
        <v>0</v>
      </c>
      <c r="F20" s="583">
        <v>0</v>
      </c>
      <c r="G20" s="584">
        <v>0</v>
      </c>
      <c r="H20" s="583">
        <v>0</v>
      </c>
      <c r="I20" s="583">
        <v>0</v>
      </c>
      <c r="J20" s="583">
        <v>0</v>
      </c>
      <c r="K20" s="583">
        <v>0</v>
      </c>
      <c r="L20" s="583">
        <v>0</v>
      </c>
      <c r="M20" s="583">
        <v>0</v>
      </c>
      <c r="N20" s="583">
        <v>0</v>
      </c>
      <c r="O20" s="583">
        <v>0</v>
      </c>
    </row>
    <row r="21" spans="2:15" x14ac:dyDescent="0.25">
      <c r="B21" s="585" t="s">
        <v>599</v>
      </c>
      <c r="C21" s="586" t="s">
        <v>584</v>
      </c>
      <c r="D21" s="583">
        <v>0</v>
      </c>
      <c r="E21" s="583">
        <v>0</v>
      </c>
      <c r="F21" s="583">
        <v>0</v>
      </c>
      <c r="G21" s="587">
        <v>0</v>
      </c>
      <c r="H21" s="583">
        <v>0</v>
      </c>
      <c r="I21" s="583">
        <v>0</v>
      </c>
      <c r="J21" s="583">
        <v>0</v>
      </c>
      <c r="K21" s="583">
        <v>0</v>
      </c>
      <c r="L21" s="583">
        <v>0</v>
      </c>
      <c r="M21" s="583">
        <v>0</v>
      </c>
      <c r="N21" s="583">
        <v>0</v>
      </c>
      <c r="O21" s="583">
        <v>0</v>
      </c>
    </row>
    <row r="22" spans="2:15" x14ac:dyDescent="0.25">
      <c r="B22" s="585" t="s">
        <v>600</v>
      </c>
      <c r="C22" s="586" t="s">
        <v>586</v>
      </c>
      <c r="D22" s="583">
        <v>0</v>
      </c>
      <c r="E22" s="583">
        <v>0</v>
      </c>
      <c r="F22" s="583">
        <v>0</v>
      </c>
      <c r="G22" s="587">
        <v>0</v>
      </c>
      <c r="H22" s="583">
        <v>0</v>
      </c>
      <c r="I22" s="583">
        <v>0</v>
      </c>
      <c r="J22" s="583">
        <v>0</v>
      </c>
      <c r="K22" s="583">
        <v>0</v>
      </c>
      <c r="L22" s="583">
        <v>0</v>
      </c>
      <c r="M22" s="583">
        <v>0</v>
      </c>
      <c r="N22" s="583">
        <v>0</v>
      </c>
      <c r="O22" s="583">
        <v>0</v>
      </c>
    </row>
    <row r="23" spans="2:15" x14ac:dyDescent="0.25">
      <c r="B23" s="585" t="s">
        <v>601</v>
      </c>
      <c r="C23" s="586" t="s">
        <v>588</v>
      </c>
      <c r="D23" s="583">
        <v>0</v>
      </c>
      <c r="E23" s="583">
        <v>0</v>
      </c>
      <c r="F23" s="583">
        <v>0</v>
      </c>
      <c r="G23" s="587">
        <v>0</v>
      </c>
      <c r="H23" s="583">
        <v>0</v>
      </c>
      <c r="I23" s="583">
        <v>0</v>
      </c>
      <c r="J23" s="583">
        <v>0</v>
      </c>
      <c r="K23" s="583">
        <v>0</v>
      </c>
      <c r="L23" s="583">
        <v>0</v>
      </c>
      <c r="M23" s="583">
        <v>0</v>
      </c>
      <c r="N23" s="583">
        <v>0</v>
      </c>
      <c r="O23" s="583">
        <v>0</v>
      </c>
    </row>
    <row r="24" spans="2:15" x14ac:dyDescent="0.25">
      <c r="B24" s="585" t="s">
        <v>602</v>
      </c>
      <c r="C24" s="586" t="s">
        <v>590</v>
      </c>
      <c r="D24" s="583">
        <v>0</v>
      </c>
      <c r="E24" s="583">
        <v>0</v>
      </c>
      <c r="F24" s="583">
        <v>0</v>
      </c>
      <c r="G24" s="587">
        <v>0</v>
      </c>
      <c r="H24" s="583">
        <v>0</v>
      </c>
      <c r="I24" s="583">
        <v>0</v>
      </c>
      <c r="J24" s="583">
        <v>0</v>
      </c>
      <c r="K24" s="583">
        <v>0</v>
      </c>
      <c r="L24" s="583">
        <v>0</v>
      </c>
      <c r="M24" s="583">
        <v>0</v>
      </c>
      <c r="N24" s="583">
        <v>0</v>
      </c>
      <c r="O24" s="583">
        <v>0</v>
      </c>
    </row>
    <row r="25" spans="2:15" x14ac:dyDescent="0.25">
      <c r="B25" s="585" t="s">
        <v>603</v>
      </c>
      <c r="C25" s="586" t="s">
        <v>592</v>
      </c>
      <c r="D25" s="583">
        <v>0</v>
      </c>
      <c r="E25" s="583">
        <v>0</v>
      </c>
      <c r="F25" s="583">
        <v>0</v>
      </c>
      <c r="G25" s="587">
        <v>0</v>
      </c>
      <c r="H25" s="583">
        <v>0</v>
      </c>
      <c r="I25" s="583">
        <v>0</v>
      </c>
      <c r="J25" s="583">
        <v>0</v>
      </c>
      <c r="K25" s="583">
        <v>0</v>
      </c>
      <c r="L25" s="583">
        <v>0</v>
      </c>
      <c r="M25" s="583">
        <v>0</v>
      </c>
      <c r="N25" s="583">
        <v>0</v>
      </c>
      <c r="O25" s="583">
        <v>0</v>
      </c>
    </row>
    <row r="26" spans="2:15" ht="30" x14ac:dyDescent="0.25">
      <c r="B26" s="581" t="s">
        <v>604</v>
      </c>
      <c r="C26" s="582" t="s">
        <v>415</v>
      </c>
      <c r="D26" s="583">
        <f>3821804896/1000</f>
        <v>3821804.8960000002</v>
      </c>
      <c r="E26" s="588"/>
      <c r="F26" s="588"/>
      <c r="G26" s="589">
        <f>31949291/1000</f>
        <v>31949.291000000001</v>
      </c>
      <c r="H26" s="588"/>
      <c r="I26" s="588"/>
      <c r="J26" s="588"/>
      <c r="K26" s="588"/>
      <c r="L26" s="588"/>
      <c r="M26" s="588"/>
      <c r="N26" s="588"/>
      <c r="O26" s="589">
        <v>0</v>
      </c>
    </row>
    <row r="27" spans="2:15" x14ac:dyDescent="0.25">
      <c r="B27" s="585" t="s">
        <v>605</v>
      </c>
      <c r="C27" s="586" t="s">
        <v>584</v>
      </c>
      <c r="D27" s="589">
        <v>0</v>
      </c>
      <c r="E27" s="588"/>
      <c r="F27" s="588"/>
      <c r="G27" s="589">
        <v>0</v>
      </c>
      <c r="H27" s="588"/>
      <c r="I27" s="588"/>
      <c r="J27" s="588"/>
      <c r="K27" s="588"/>
      <c r="L27" s="588"/>
      <c r="M27" s="588"/>
      <c r="N27" s="588"/>
      <c r="O27" s="589">
        <v>0</v>
      </c>
    </row>
    <row r="28" spans="2:15" x14ac:dyDescent="0.25">
      <c r="B28" s="585" t="s">
        <v>606</v>
      </c>
      <c r="C28" s="586" t="s">
        <v>586</v>
      </c>
      <c r="D28" s="589">
        <f>(1634265+2687983)/1000</f>
        <v>4322.2479999999996</v>
      </c>
      <c r="E28" s="588"/>
      <c r="F28" s="588"/>
      <c r="G28" s="589">
        <v>0</v>
      </c>
      <c r="H28" s="588"/>
      <c r="I28" s="588"/>
      <c r="J28" s="588"/>
      <c r="K28" s="588"/>
      <c r="L28" s="588"/>
      <c r="M28" s="588"/>
      <c r="N28" s="588"/>
      <c r="O28" s="589">
        <v>0</v>
      </c>
    </row>
    <row r="29" spans="2:15" x14ac:dyDescent="0.25">
      <c r="B29" s="585" t="s">
        <v>607</v>
      </c>
      <c r="C29" s="586" t="s">
        <v>588</v>
      </c>
      <c r="D29" s="589">
        <f>(45176061+31540002)/1000</f>
        <v>76716.062999999995</v>
      </c>
      <c r="E29" s="588"/>
      <c r="F29" s="588"/>
      <c r="G29" s="589">
        <v>0</v>
      </c>
      <c r="H29" s="588"/>
      <c r="I29" s="588"/>
      <c r="J29" s="588"/>
      <c r="K29" s="588"/>
      <c r="L29" s="588"/>
      <c r="M29" s="588"/>
      <c r="N29" s="588"/>
      <c r="O29" s="589">
        <v>0</v>
      </c>
    </row>
    <row r="30" spans="2:15" x14ac:dyDescent="0.25">
      <c r="B30" s="585" t="s">
        <v>608</v>
      </c>
      <c r="C30" s="586" t="s">
        <v>590</v>
      </c>
      <c r="D30" s="589">
        <f>(82949341+9312893)/1000</f>
        <v>92262.233999999997</v>
      </c>
      <c r="E30" s="588"/>
      <c r="F30" s="588"/>
      <c r="G30" s="589">
        <f>(14736)/1000</f>
        <v>14.736000000000001</v>
      </c>
      <c r="H30" s="588"/>
      <c r="I30" s="588"/>
      <c r="J30" s="588"/>
      <c r="K30" s="588"/>
      <c r="L30" s="588"/>
      <c r="M30" s="588"/>
      <c r="N30" s="588"/>
      <c r="O30" s="589">
        <v>0</v>
      </c>
    </row>
    <row r="31" spans="2:15" x14ac:dyDescent="0.25">
      <c r="B31" s="585" t="s">
        <v>609</v>
      </c>
      <c r="C31" s="586" t="s">
        <v>592</v>
      </c>
      <c r="D31" s="589">
        <f>(1154967600+232172549)/1000</f>
        <v>1387140.149</v>
      </c>
      <c r="E31" s="588"/>
      <c r="F31" s="588"/>
      <c r="G31" s="589">
        <f>(6726722+2599643)/1000</f>
        <v>9326.3649999999998</v>
      </c>
      <c r="H31" s="588"/>
      <c r="I31" s="588"/>
      <c r="J31" s="588"/>
      <c r="K31" s="588"/>
      <c r="L31" s="588"/>
      <c r="M31" s="588"/>
      <c r="N31" s="588"/>
      <c r="O31" s="589">
        <v>0</v>
      </c>
    </row>
    <row r="32" spans="2:15" x14ac:dyDescent="0.25">
      <c r="B32" s="585" t="s">
        <v>610</v>
      </c>
      <c r="C32" s="586" t="s">
        <v>596</v>
      </c>
      <c r="D32" s="589">
        <f>(1367498544+893865658)/1000</f>
        <v>2261364.202</v>
      </c>
      <c r="E32" s="588"/>
      <c r="F32" s="588"/>
      <c r="G32" s="589">
        <f>(4675529+17932660)/1000</f>
        <v>22608.188999999998</v>
      </c>
      <c r="H32" s="588"/>
      <c r="I32" s="588"/>
      <c r="J32" s="588"/>
      <c r="K32" s="588"/>
      <c r="L32" s="588"/>
      <c r="M32" s="588"/>
      <c r="N32" s="588"/>
      <c r="O32" s="589">
        <v>0</v>
      </c>
    </row>
    <row r="33" spans="2:15" x14ac:dyDescent="0.25">
      <c r="B33" s="590" t="s">
        <v>611</v>
      </c>
      <c r="C33" s="591" t="s">
        <v>0</v>
      </c>
      <c r="D33" s="592">
        <f>+D11+D12+D20+D26</f>
        <v>8676945.4020000007</v>
      </c>
      <c r="E33" s="592">
        <f t="shared" ref="E33:O33" si="0">+E11+E12+E20+E26</f>
        <v>4868912.8310000002</v>
      </c>
      <c r="F33" s="592">
        <f t="shared" si="0"/>
        <v>30227.674999999999</v>
      </c>
      <c r="G33" s="592">
        <f>+G11+G12+G20+G26</f>
        <v>271251.29100000003</v>
      </c>
      <c r="H33" s="592">
        <f t="shared" si="0"/>
        <v>235491.16899999999</v>
      </c>
      <c r="I33" s="592">
        <f t="shared" si="0"/>
        <v>1436.819</v>
      </c>
      <c r="J33" s="592">
        <f t="shared" si="0"/>
        <v>1361.942</v>
      </c>
      <c r="K33" s="592">
        <f t="shared" si="0"/>
        <v>701.25199999999995</v>
      </c>
      <c r="L33" s="592">
        <f t="shared" si="0"/>
        <v>309.01799999999997</v>
      </c>
      <c r="M33" s="592">
        <f t="shared" si="0"/>
        <v>1.8</v>
      </c>
      <c r="N33" s="592">
        <f t="shared" si="0"/>
        <v>0</v>
      </c>
      <c r="O33" s="592">
        <f t="shared" si="0"/>
        <v>239302</v>
      </c>
    </row>
  </sheetData>
  <mergeCells count="17">
    <mergeCell ref="M8:M10"/>
    <mergeCell ref="N8:N10"/>
    <mergeCell ref="D6:O6"/>
    <mergeCell ref="D7:F7"/>
    <mergeCell ref="G7:O7"/>
    <mergeCell ref="G8:G10"/>
    <mergeCell ref="H8:H10"/>
    <mergeCell ref="O8:O10"/>
    <mergeCell ref="I8:I10"/>
    <mergeCell ref="J8:J10"/>
    <mergeCell ref="K8:K10"/>
    <mergeCell ref="L8:L10"/>
    <mergeCell ref="B8:B9"/>
    <mergeCell ref="C8:C9"/>
    <mergeCell ref="D8:D9"/>
    <mergeCell ref="E8:E10"/>
    <mergeCell ref="F8:F10"/>
  </mergeCells>
  <hyperlinks>
    <hyperlink ref="B2" location="Indhold!B27" display="Skema EU CQ3: Kreditkvalitet af ikkemisligholdte og misligholdte eksponeringer efter forfaldsdage" xr:uid="{904E1004-16D2-4239-8ED5-EBDFC4F1ED6C}"/>
  </hyperlinks>
  <pageMargins left="0.70866141732283472" right="0.70866141732283472" top="0.74803149606299213" bottom="0.74803149606299213" header="0.31496062992125984" footer="0.31496062992125984"/>
  <pageSetup paperSize="9" scale="89" fitToHeight="0" orientation="landscape" r:id="rId1"/>
  <headerFooter>
    <oddHeader>&amp;CDA
Bilag XV</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C2D9B-53C1-4A20-B450-3A738841AEF5}">
  <sheetPr>
    <pageSetUpPr fitToPage="1"/>
  </sheetPr>
  <dimension ref="B2:I29"/>
  <sheetViews>
    <sheetView showGridLines="0" zoomScaleNormal="100" workbookViewId="0">
      <selection activeCell="F1" sqref="F1"/>
    </sheetView>
  </sheetViews>
  <sheetFormatPr defaultRowHeight="15" x14ac:dyDescent="0.25"/>
  <cols>
    <col min="2" max="2" width="4.7109375" customWidth="1"/>
    <col min="3" max="3" width="25" customWidth="1"/>
    <col min="4" max="4" width="10.5703125" bestFit="1" customWidth="1"/>
    <col min="7" max="7" width="13" customWidth="1"/>
    <col min="8" max="8" width="12.42578125" customWidth="1"/>
    <col min="9" max="9" width="20.28515625" customWidth="1"/>
  </cols>
  <sheetData>
    <row r="2" spans="2:9" x14ac:dyDescent="0.25">
      <c r="B2" s="866" t="s">
        <v>668</v>
      </c>
    </row>
    <row r="3" spans="2:9" ht="15.75" x14ac:dyDescent="0.25">
      <c r="B3" s="164"/>
      <c r="C3" s="165"/>
      <c r="D3" s="165"/>
      <c r="E3" s="1079"/>
      <c r="F3" s="1079"/>
      <c r="G3" s="165"/>
      <c r="H3" s="869"/>
      <c r="I3" s="165"/>
    </row>
    <row r="4" spans="2:9" ht="15.75" x14ac:dyDescent="0.25">
      <c r="B4" s="164"/>
      <c r="C4" s="816"/>
      <c r="D4" s="816"/>
      <c r="E4" s="815"/>
      <c r="F4" s="815"/>
      <c r="G4" s="816"/>
      <c r="H4" s="816"/>
      <c r="I4" s="816"/>
    </row>
    <row r="5" spans="2:9" ht="15.75" x14ac:dyDescent="0.25">
      <c r="B5" s="540"/>
      <c r="C5" s="594"/>
      <c r="D5" s="596" t="s">
        <v>103</v>
      </c>
      <c r="E5" s="564" t="s">
        <v>102</v>
      </c>
      <c r="F5" s="564" t="s">
        <v>97</v>
      </c>
      <c r="G5" s="564" t="s">
        <v>96</v>
      </c>
      <c r="H5" s="564" t="s">
        <v>95</v>
      </c>
      <c r="I5" s="564" t="s">
        <v>111</v>
      </c>
    </row>
    <row r="6" spans="2:9" ht="19.5" customHeight="1" x14ac:dyDescent="0.25">
      <c r="B6" s="540"/>
      <c r="C6" s="594"/>
      <c r="D6" s="1080" t="s">
        <v>669</v>
      </c>
      <c r="E6" s="1080"/>
      <c r="F6" s="1080"/>
      <c r="G6" s="1080"/>
      <c r="H6" s="1081" t="s">
        <v>1259</v>
      </c>
      <c r="I6" s="1081" t="s">
        <v>659</v>
      </c>
    </row>
    <row r="7" spans="2:9" ht="49.5" customHeight="1" x14ac:dyDescent="0.25">
      <c r="B7" s="597"/>
      <c r="C7" s="598"/>
      <c r="D7" s="599"/>
      <c r="E7" s="1084" t="s">
        <v>660</v>
      </c>
      <c r="F7" s="1085"/>
      <c r="G7" s="600" t="s">
        <v>670</v>
      </c>
      <c r="H7" s="1082"/>
      <c r="I7" s="1082"/>
    </row>
    <row r="8" spans="2:9" ht="15.75" x14ac:dyDescent="0.25">
      <c r="B8" s="441" t="s">
        <v>1423</v>
      </c>
      <c r="C8" s="594"/>
      <c r="D8" s="601"/>
      <c r="E8" s="1086"/>
      <c r="F8" s="1081" t="s">
        <v>1255</v>
      </c>
      <c r="G8" s="1088"/>
      <c r="H8" s="1082"/>
      <c r="I8" s="1082"/>
    </row>
    <row r="9" spans="2:9" ht="16.5" thickBot="1" x14ac:dyDescent="0.3">
      <c r="B9" s="540"/>
      <c r="C9" s="595"/>
      <c r="D9" s="602"/>
      <c r="E9" s="1087"/>
      <c r="F9" s="1083"/>
      <c r="G9" s="1089"/>
      <c r="H9" s="1083"/>
      <c r="I9" s="1083"/>
    </row>
    <row r="10" spans="2:9" ht="30" x14ac:dyDescent="0.25">
      <c r="B10" s="603" t="s">
        <v>343</v>
      </c>
      <c r="C10" s="604" t="s">
        <v>671</v>
      </c>
      <c r="D10" s="605">
        <f>22957383/1000</f>
        <v>22957.383000000002</v>
      </c>
      <c r="E10" s="605">
        <f>1758351/1000</f>
        <v>1758.3510000000001</v>
      </c>
      <c r="F10" s="605">
        <f>1758351/1000</f>
        <v>1758.3510000000001</v>
      </c>
      <c r="G10" s="605">
        <f>22957383/1000</f>
        <v>22957.383000000002</v>
      </c>
      <c r="H10" s="605">
        <f>-2296459/1000</f>
        <v>-2296.4589999999998</v>
      </c>
      <c r="I10" s="605">
        <v>0</v>
      </c>
    </row>
    <row r="11" spans="2:9" x14ac:dyDescent="0.25">
      <c r="B11" s="606" t="s">
        <v>349</v>
      </c>
      <c r="C11" s="582" t="s">
        <v>672</v>
      </c>
      <c r="D11" s="584">
        <v>0</v>
      </c>
      <c r="E11" s="584">
        <v>0</v>
      </c>
      <c r="F11" s="584">
        <v>0</v>
      </c>
      <c r="G11" s="584">
        <v>0</v>
      </c>
      <c r="H11" s="584">
        <v>0</v>
      </c>
      <c r="I11" s="584">
        <v>0</v>
      </c>
    </row>
    <row r="12" spans="2:9" x14ac:dyDescent="0.25">
      <c r="B12" s="606" t="s">
        <v>585</v>
      </c>
      <c r="C12" s="582" t="s">
        <v>673</v>
      </c>
      <c r="D12" s="584">
        <f>67833583/1000</f>
        <v>67833.582999999999</v>
      </c>
      <c r="E12" s="584">
        <f>26948323/1000</f>
        <v>26948.323</v>
      </c>
      <c r="F12" s="584">
        <f>26948323/1000</f>
        <v>26948.323</v>
      </c>
      <c r="G12" s="584">
        <f>67833583/1000</f>
        <v>67833.582999999999</v>
      </c>
      <c r="H12" s="584">
        <f>-20556416/1000</f>
        <v>-20556.416000000001</v>
      </c>
      <c r="I12" s="584">
        <v>0</v>
      </c>
    </row>
    <row r="13" spans="2:9" ht="30" x14ac:dyDescent="0.25">
      <c r="B13" s="606" t="s">
        <v>587</v>
      </c>
      <c r="C13" s="582" t="s">
        <v>674</v>
      </c>
      <c r="D13" s="584">
        <f>105534586/1000</f>
        <v>105534.586</v>
      </c>
      <c r="E13" s="584">
        <v>0</v>
      </c>
      <c r="F13" s="584">
        <v>0</v>
      </c>
      <c r="G13" s="584">
        <f>105534586/1000</f>
        <v>105534.586</v>
      </c>
      <c r="H13" s="584">
        <f>-612809/1000</f>
        <v>-612.80899999999997</v>
      </c>
      <c r="I13" s="584">
        <v>0</v>
      </c>
    </row>
    <row r="14" spans="2:9" x14ac:dyDescent="0.25">
      <c r="B14" s="606" t="s">
        <v>589</v>
      </c>
      <c r="C14" s="582" t="s">
        <v>675</v>
      </c>
      <c r="D14" s="584">
        <f>16579080/1000</f>
        <v>16579.080000000002</v>
      </c>
      <c r="E14" s="584">
        <f>231420/1000</f>
        <v>231.42</v>
      </c>
      <c r="F14" s="584">
        <f>231420/1000</f>
        <v>231.42</v>
      </c>
      <c r="G14" s="584">
        <f>16579080/1000</f>
        <v>16579.080000000002</v>
      </c>
      <c r="H14" s="584">
        <f>-419259/1000</f>
        <v>-419.25900000000001</v>
      </c>
      <c r="I14" s="584">
        <v>0</v>
      </c>
    </row>
    <row r="15" spans="2:9" ht="30" x14ac:dyDescent="0.25">
      <c r="B15" s="606" t="s">
        <v>591</v>
      </c>
      <c r="C15" s="582" t="s">
        <v>676</v>
      </c>
      <c r="D15" s="584">
        <f>213031456/1000</f>
        <v>213031.45600000001</v>
      </c>
      <c r="E15" s="584">
        <f>2514996/1000</f>
        <v>2514.9960000000001</v>
      </c>
      <c r="F15" s="584">
        <f>2514996/1000</f>
        <v>2514.9960000000001</v>
      </c>
      <c r="G15" s="584">
        <f>213031456/1000</f>
        <v>213031.45600000001</v>
      </c>
      <c r="H15" s="584">
        <f>-3170737/1000</f>
        <v>-3170.7370000000001</v>
      </c>
      <c r="I15" s="584">
        <v>0</v>
      </c>
    </row>
    <row r="16" spans="2:9" x14ac:dyDescent="0.25">
      <c r="B16" s="606" t="s">
        <v>593</v>
      </c>
      <c r="C16" s="582" t="s">
        <v>677</v>
      </c>
      <c r="D16" s="584">
        <f>262680903/1000</f>
        <v>262680.90299999999</v>
      </c>
      <c r="E16" s="584">
        <f>73259742/1000</f>
        <v>73259.741999999998</v>
      </c>
      <c r="F16" s="584">
        <f>73259742/1000</f>
        <v>73259.741999999998</v>
      </c>
      <c r="G16" s="584">
        <f>262680903/1000</f>
        <v>262680.90299999999</v>
      </c>
      <c r="H16" s="584">
        <f>-14973909/1000</f>
        <v>-14973.909</v>
      </c>
      <c r="I16" s="584">
        <v>0</v>
      </c>
    </row>
    <row r="17" spans="2:9" x14ac:dyDescent="0.25">
      <c r="B17" s="606" t="s">
        <v>595</v>
      </c>
      <c r="C17" s="582" t="s">
        <v>678</v>
      </c>
      <c r="D17" s="584">
        <f>324576573/1000</f>
        <v>324576.57299999997</v>
      </c>
      <c r="E17" s="584">
        <v>0</v>
      </c>
      <c r="F17" s="584">
        <v>0</v>
      </c>
      <c r="G17" s="584">
        <f>324576573/1000</f>
        <v>324576.57299999997</v>
      </c>
      <c r="H17" s="584">
        <f>-873266/1000</f>
        <v>-873.26599999999996</v>
      </c>
      <c r="I17" s="584">
        <v>0</v>
      </c>
    </row>
    <row r="18" spans="2:9" ht="30" x14ac:dyDescent="0.25">
      <c r="B18" s="607" t="s">
        <v>597</v>
      </c>
      <c r="C18" s="582" t="s">
        <v>679</v>
      </c>
      <c r="D18" s="584">
        <f>5300901/1000</f>
        <v>5300.9009999999998</v>
      </c>
      <c r="E18" s="584">
        <f>806777/1000</f>
        <v>806.77700000000004</v>
      </c>
      <c r="F18" s="584">
        <f>806777/1000</f>
        <v>806.77700000000004</v>
      </c>
      <c r="G18" s="584">
        <f>5300901/1000</f>
        <v>5300.9009999999998</v>
      </c>
      <c r="H18" s="584">
        <f>-326202/1000</f>
        <v>-326.202</v>
      </c>
      <c r="I18" s="584">
        <v>0</v>
      </c>
    </row>
    <row r="19" spans="2:9" ht="30" x14ac:dyDescent="0.25">
      <c r="B19" s="606" t="s">
        <v>599</v>
      </c>
      <c r="C19" s="582" t="s">
        <v>680</v>
      </c>
      <c r="D19" s="584">
        <f>20301751/1000</f>
        <v>20301.751</v>
      </c>
      <c r="E19" s="584">
        <f>52507/1000</f>
        <v>52.506999999999998</v>
      </c>
      <c r="F19" s="584">
        <f>52507/1000</f>
        <v>52.506999999999998</v>
      </c>
      <c r="G19" s="584">
        <f>20301751/1000</f>
        <v>20301.751</v>
      </c>
      <c r="H19" s="584">
        <f>-685000/1000</f>
        <v>-685</v>
      </c>
      <c r="I19" s="584">
        <v>0</v>
      </c>
    </row>
    <row r="20" spans="2:9" ht="45" x14ac:dyDescent="0.25">
      <c r="B20" s="606" t="s">
        <v>600</v>
      </c>
      <c r="C20" s="582" t="s">
        <v>681</v>
      </c>
      <c r="D20" s="584">
        <f>3055940/1000</f>
        <v>3055.94</v>
      </c>
      <c r="E20" s="584">
        <v>0</v>
      </c>
      <c r="F20" s="584">
        <v>0</v>
      </c>
      <c r="G20" s="584">
        <f>3055940/1000</f>
        <v>3055.94</v>
      </c>
      <c r="H20" s="584">
        <f>-97914/1000</f>
        <v>-97.914000000000001</v>
      </c>
      <c r="I20" s="584">
        <v>0</v>
      </c>
    </row>
    <row r="21" spans="2:9" ht="30" x14ac:dyDescent="0.25">
      <c r="B21" s="606" t="s">
        <v>601</v>
      </c>
      <c r="C21" s="582" t="s">
        <v>682</v>
      </c>
      <c r="D21" s="584">
        <f>509821309/1000</f>
        <v>509821.30900000001</v>
      </c>
      <c r="E21" s="584">
        <f>21506666/1000</f>
        <v>21506.666000000001</v>
      </c>
      <c r="F21" s="584">
        <f>21506666/1000</f>
        <v>21506.666000000001</v>
      </c>
      <c r="G21" s="584">
        <f>509821309/1000</f>
        <v>509821.30900000001</v>
      </c>
      <c r="H21" s="584">
        <f>-9943160/1000</f>
        <v>-9943.16</v>
      </c>
      <c r="I21" s="584">
        <v>0</v>
      </c>
    </row>
    <row r="22" spans="2:9" ht="45" x14ac:dyDescent="0.25">
      <c r="B22" s="606" t="s">
        <v>602</v>
      </c>
      <c r="C22" s="582" t="s">
        <v>683</v>
      </c>
      <c r="D22" s="584">
        <f>73736254/1000</f>
        <v>73736.254000000001</v>
      </c>
      <c r="E22" s="584">
        <f>2486938/1000</f>
        <v>2486.9380000000001</v>
      </c>
      <c r="F22" s="584">
        <f>2486938/1000</f>
        <v>2486.9380000000001</v>
      </c>
      <c r="G22" s="584">
        <f>73736254/1000</f>
        <v>73736.254000000001</v>
      </c>
      <c r="H22" s="584">
        <f>-3437143/1000</f>
        <v>-3437.143</v>
      </c>
      <c r="I22" s="584">
        <v>0</v>
      </c>
    </row>
    <row r="23" spans="2:9" ht="45" x14ac:dyDescent="0.25">
      <c r="B23" s="606" t="s">
        <v>603</v>
      </c>
      <c r="C23" s="582" t="s">
        <v>684</v>
      </c>
      <c r="D23" s="584">
        <f>26750432/1000</f>
        <v>26750.432000000001</v>
      </c>
      <c r="E23" s="584">
        <v>19.024999999999999</v>
      </c>
      <c r="F23" s="584">
        <v>19.024999999999999</v>
      </c>
      <c r="G23" s="584">
        <f>26750432/1000</f>
        <v>26750.432000000001</v>
      </c>
      <c r="H23" s="584">
        <f>-417531/1000</f>
        <v>-417.53100000000001</v>
      </c>
      <c r="I23" s="584">
        <v>0</v>
      </c>
    </row>
    <row r="24" spans="2:9" ht="30" x14ac:dyDescent="0.25">
      <c r="B24" s="607" t="s">
        <v>604</v>
      </c>
      <c r="C24" s="582" t="s">
        <v>685</v>
      </c>
      <c r="D24" s="584">
        <v>0</v>
      </c>
      <c r="E24" s="584">
        <v>0</v>
      </c>
      <c r="F24" s="584">
        <v>0</v>
      </c>
      <c r="G24" s="584">
        <v>0</v>
      </c>
      <c r="H24" s="584">
        <v>0</v>
      </c>
      <c r="I24" s="584">
        <v>0</v>
      </c>
    </row>
    <row r="25" spans="2:9" x14ac:dyDescent="0.25">
      <c r="B25" s="606" t="s">
        <v>605</v>
      </c>
      <c r="C25" s="582" t="s">
        <v>686</v>
      </c>
      <c r="D25" s="584">
        <f>98895/1000</f>
        <v>98.894999999999996</v>
      </c>
      <c r="E25" s="584">
        <v>0</v>
      </c>
      <c r="F25" s="584">
        <v>0</v>
      </c>
      <c r="G25" s="584">
        <f>98895/1000</f>
        <v>98.894999999999996</v>
      </c>
      <c r="H25" s="584">
        <v>-2.9279999999999999</v>
      </c>
      <c r="I25" s="584">
        <v>0</v>
      </c>
    </row>
    <row r="26" spans="2:9" ht="30" x14ac:dyDescent="0.25">
      <c r="B26" s="606" t="s">
        <v>606</v>
      </c>
      <c r="C26" s="582" t="s">
        <v>687</v>
      </c>
      <c r="D26" s="584">
        <f>1441718/1000</f>
        <v>1441.7180000000001</v>
      </c>
      <c r="E26" s="584">
        <v>0.35099999999999998</v>
      </c>
      <c r="F26" s="584">
        <v>0.35099999999999998</v>
      </c>
      <c r="G26" s="584">
        <f>1441718/1000</f>
        <v>1441.7180000000001</v>
      </c>
      <c r="H26" s="584">
        <f>-40168/1000</f>
        <v>-40.167999999999999</v>
      </c>
      <c r="I26" s="584">
        <v>0</v>
      </c>
    </row>
    <row r="27" spans="2:9" ht="30" x14ac:dyDescent="0.25">
      <c r="B27" s="606" t="s">
        <v>607</v>
      </c>
      <c r="C27" s="582" t="s">
        <v>688</v>
      </c>
      <c r="D27" s="584">
        <f>44064252/1000</f>
        <v>44064.252</v>
      </c>
      <c r="E27" s="584">
        <f>252894/1000</f>
        <v>252.89400000000001</v>
      </c>
      <c r="F27" s="584">
        <f>252894/1000</f>
        <v>252.89400000000001</v>
      </c>
      <c r="G27" s="584">
        <f>44064252/1000</f>
        <v>44064.252</v>
      </c>
      <c r="H27" s="584">
        <f>-881874/1000</f>
        <v>-881.87400000000002</v>
      </c>
      <c r="I27" s="584">
        <v>0</v>
      </c>
    </row>
    <row r="28" spans="2:9" x14ac:dyDescent="0.25">
      <c r="B28" s="606" t="s">
        <v>608</v>
      </c>
      <c r="C28" s="582" t="s">
        <v>689</v>
      </c>
      <c r="D28" s="584">
        <f>5779983/1000</f>
        <v>5779.9830000000002</v>
      </c>
      <c r="E28" s="584">
        <f>4470409/1000</f>
        <v>4470.4089999999997</v>
      </c>
      <c r="F28" s="584">
        <f>4470409/1000</f>
        <v>4470.4089999999997</v>
      </c>
      <c r="G28" s="584">
        <f>5779983/1000</f>
        <v>5779.9830000000002</v>
      </c>
      <c r="H28" s="584">
        <f>-1236154/1000</f>
        <v>-1236.154</v>
      </c>
      <c r="I28" s="584">
        <v>0</v>
      </c>
    </row>
    <row r="29" spans="2:9" x14ac:dyDescent="0.25">
      <c r="B29" s="608" t="s">
        <v>609</v>
      </c>
      <c r="C29" s="591" t="s">
        <v>0</v>
      </c>
      <c r="D29" s="592">
        <f>SUM(D10:D28)</f>
        <v>1703544.9990000001</v>
      </c>
      <c r="E29" s="592">
        <f t="shared" ref="E29:I29" si="0">SUM(E10:E28)</f>
        <v>134308.39899999998</v>
      </c>
      <c r="F29" s="592">
        <f t="shared" si="0"/>
        <v>134308.39899999998</v>
      </c>
      <c r="G29" s="592">
        <f t="shared" si="0"/>
        <v>1703544.9990000001</v>
      </c>
      <c r="H29" s="592">
        <f t="shared" si="0"/>
        <v>-59970.928999999996</v>
      </c>
      <c r="I29" s="592">
        <f t="shared" si="0"/>
        <v>0</v>
      </c>
    </row>
  </sheetData>
  <mergeCells count="8">
    <mergeCell ref="E3:F3"/>
    <mergeCell ref="D6:G6"/>
    <mergeCell ref="H6:H9"/>
    <mergeCell ref="I6:I9"/>
    <mergeCell ref="E7:F7"/>
    <mergeCell ref="E8:E9"/>
    <mergeCell ref="F8:F9"/>
    <mergeCell ref="G8:G9"/>
  </mergeCells>
  <hyperlinks>
    <hyperlink ref="B2" location="Indhold!B28" display="Skema EU CQ5: Kreditkvalitet af lån og forskud til ikkefinansielle selskaber efter branche" xr:uid="{EBCC0789-C72D-4ED9-B316-36BD9C117C07}"/>
  </hyperlinks>
  <pageMargins left="0.70866141732283472" right="0.70866141732283472" top="0.74803149606299213" bottom="0.74803149606299213" header="0.31496062992125984" footer="0.31496062992125984"/>
  <pageSetup paperSize="9" scale="95" fitToWidth="0" orientation="landscape" r:id="rId1"/>
  <headerFooter>
    <oddHeader>&amp;CDA
Bilag XV</oddHeader>
    <oddFooter>&amp;C&amp;P</oddFooter>
  </headerFooter>
  <ignoredErrors>
    <ignoredError sqref="B10:B29" numberStoredAsText="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B95E6-917E-4727-B792-54625D813D9B}">
  <sheetPr>
    <pageSetUpPr autoPageBreaks="0" fitToPage="1"/>
  </sheetPr>
  <dimension ref="A2:J14"/>
  <sheetViews>
    <sheetView showGridLines="0" zoomScaleNormal="100" zoomScaleSheetLayoutView="100" zoomScalePageLayoutView="80" workbookViewId="0">
      <selection activeCell="F1" sqref="F1"/>
    </sheetView>
  </sheetViews>
  <sheetFormatPr defaultColWidth="9.140625" defaultRowHeight="15" x14ac:dyDescent="0.25"/>
  <cols>
    <col min="2" max="2" width="6.28515625" customWidth="1"/>
    <col min="3" max="3" width="55" customWidth="1"/>
    <col min="4" max="4" width="19.28515625" customWidth="1"/>
    <col min="5" max="5" width="27" customWidth="1"/>
    <col min="6" max="6" width="23.7109375" customWidth="1"/>
    <col min="7" max="7" width="21.140625" customWidth="1"/>
    <col min="8" max="8" width="28.28515625" customWidth="1"/>
  </cols>
  <sheetData>
    <row r="2" spans="1:10" ht="21" customHeight="1" x14ac:dyDescent="0.35">
      <c r="A2" s="237"/>
      <c r="B2" s="866" t="s">
        <v>729</v>
      </c>
      <c r="D2" s="238"/>
      <c r="F2" s="238"/>
      <c r="G2" s="238"/>
      <c r="H2" s="238"/>
      <c r="J2" s="236"/>
    </row>
    <row r="5" spans="1:10" ht="32.25" customHeight="1" x14ac:dyDescent="0.25">
      <c r="B5" s="505"/>
      <c r="C5" s="620"/>
      <c r="D5" s="621" t="s">
        <v>730</v>
      </c>
      <c r="E5" s="622" t="s">
        <v>731</v>
      </c>
      <c r="F5" s="626"/>
      <c r="G5" s="626"/>
      <c r="H5" s="627"/>
      <c r="I5" s="236"/>
      <c r="J5" s="236"/>
    </row>
    <row r="6" spans="1:10" ht="32.25" customHeight="1" x14ac:dyDescent="0.25">
      <c r="B6" s="505"/>
      <c r="C6" s="620"/>
      <c r="D6" s="623"/>
      <c r="E6" s="624"/>
      <c r="F6" s="628" t="s">
        <v>1457</v>
      </c>
      <c r="G6" s="629" t="s">
        <v>1458</v>
      </c>
      <c r="H6" s="630"/>
      <c r="I6" s="236"/>
      <c r="J6" s="236"/>
    </row>
    <row r="7" spans="1:10" ht="32.25" customHeight="1" x14ac:dyDescent="0.25">
      <c r="B7" s="440" t="s">
        <v>1423</v>
      </c>
      <c r="C7" s="620"/>
      <c r="D7" s="623"/>
      <c r="E7" s="624"/>
      <c r="F7" s="631"/>
      <c r="G7" s="624"/>
      <c r="H7" s="632" t="s">
        <v>1459</v>
      </c>
      <c r="I7" s="236"/>
      <c r="J7" s="236"/>
    </row>
    <row r="8" spans="1:10" ht="14.25" customHeight="1" x14ac:dyDescent="0.25">
      <c r="B8" s="505"/>
      <c r="C8" s="620"/>
      <c r="D8" s="625" t="s">
        <v>103</v>
      </c>
      <c r="E8" s="633" t="s">
        <v>102</v>
      </c>
      <c r="F8" s="633" t="s">
        <v>97</v>
      </c>
      <c r="G8" s="633" t="s">
        <v>96</v>
      </c>
      <c r="H8" s="634" t="s">
        <v>95</v>
      </c>
      <c r="I8" s="236"/>
      <c r="J8" s="236"/>
    </row>
    <row r="9" spans="1:10" ht="11.25" customHeight="1" x14ac:dyDescent="0.25">
      <c r="B9" s="16">
        <v>1</v>
      </c>
      <c r="C9" s="28" t="s">
        <v>583</v>
      </c>
      <c r="D9" s="635">
        <v>1302436.7695100019</v>
      </c>
      <c r="E9" s="29">
        <v>2803714.2304899981</v>
      </c>
      <c r="F9" s="29">
        <v>2748640.5408199979</v>
      </c>
      <c r="G9" s="29">
        <v>55073.68967</v>
      </c>
      <c r="H9" s="636">
        <v>0</v>
      </c>
      <c r="I9" s="236"/>
      <c r="J9" s="236"/>
    </row>
    <row r="10" spans="1:10" ht="11.25" customHeight="1" x14ac:dyDescent="0.25">
      <c r="B10" s="16">
        <v>2</v>
      </c>
      <c r="C10" s="28" t="s">
        <v>732</v>
      </c>
      <c r="D10" s="29">
        <v>0</v>
      </c>
      <c r="E10" s="29">
        <v>0</v>
      </c>
      <c r="F10" s="96">
        <v>0</v>
      </c>
      <c r="G10" s="29">
        <v>0</v>
      </c>
      <c r="H10" s="637" t="s">
        <v>733</v>
      </c>
      <c r="I10" s="236"/>
      <c r="J10" s="236"/>
    </row>
    <row r="11" spans="1:10" ht="12" customHeight="1" x14ac:dyDescent="0.25">
      <c r="B11" s="16">
        <v>3</v>
      </c>
      <c r="C11" s="28" t="s">
        <v>0</v>
      </c>
      <c r="D11" s="29">
        <v>1302436.7695100019</v>
      </c>
      <c r="E11" s="29">
        <v>2803714.2304899981</v>
      </c>
      <c r="F11" s="29">
        <v>2748640.5408199979</v>
      </c>
      <c r="G11" s="29">
        <v>55073.68967</v>
      </c>
      <c r="H11" s="29">
        <v>0</v>
      </c>
      <c r="I11" s="236"/>
      <c r="J11" s="236"/>
    </row>
    <row r="12" spans="1:10" x14ac:dyDescent="0.25">
      <c r="B12" s="16">
        <v>4</v>
      </c>
      <c r="C12" s="638" t="s">
        <v>734</v>
      </c>
      <c r="D12" s="639">
        <v>57079.189839999999</v>
      </c>
      <c r="E12" s="29">
        <v>182222.81015999999</v>
      </c>
      <c r="F12" s="29">
        <v>151908.35656000004</v>
      </c>
      <c r="G12" s="640">
        <v>0</v>
      </c>
      <c r="H12" s="636">
        <v>0</v>
      </c>
      <c r="I12" s="236"/>
      <c r="J12" s="236"/>
    </row>
    <row r="13" spans="1:10" x14ac:dyDescent="0.25">
      <c r="B13" s="13" t="s">
        <v>471</v>
      </c>
      <c r="C13" s="638" t="s">
        <v>735</v>
      </c>
      <c r="D13" s="639">
        <v>57079.189839999999</v>
      </c>
      <c r="E13" s="29">
        <v>182222.81015999999</v>
      </c>
      <c r="F13" s="637"/>
      <c r="G13" s="637"/>
      <c r="H13" s="637"/>
      <c r="I13" s="236"/>
      <c r="J13" s="236"/>
    </row>
    <row r="14" spans="1:10" x14ac:dyDescent="0.25">
      <c r="C14" s="90"/>
    </row>
  </sheetData>
  <hyperlinks>
    <hyperlink ref="B2" location="Indhold!B30" display="Skema EU CR3 - Overblik over kreditrisikoreduktionsteknikker  Offentliggørelse af anvendelsen af kreditrisikoreduktionsteknikker" xr:uid="{12DE48EE-06B1-4D14-817B-FCA362E09F4C}"/>
  </hyperlinks>
  <pageMargins left="0.70866141732283472" right="0.70866141732283472" top="0.74803149606299213" bottom="0.74803149606299213" header="0.31496062992125984" footer="0.31496062992125984"/>
  <pageSetup paperSize="9" scale="68" orientation="landscape" r:id="rId1"/>
  <headerFooter>
    <oddHeader>&amp;CDA
Bilag XVII</oddHeader>
    <oddFooter>&amp;C&amp;P</oddFooter>
    <evenHeader>&amp;L&amp;"Times New Roman,Regular"&amp;12&amp;K000000Central Bank of Ireland - RESTRICTED</evenHeader>
    <firstHeader>&amp;L&amp;"Times New Roman,Regular"&amp;12&amp;K000000Central Bank of Ireland - RESTRICTED</first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51A6D-06BB-4231-B8DB-F8F656DCCD6E}">
  <sheetPr>
    <pageSetUpPr fitToPage="1"/>
  </sheetPr>
  <dimension ref="B2:I26"/>
  <sheetViews>
    <sheetView showGridLines="0" zoomScaleNormal="100" zoomScalePageLayoutView="80" workbookViewId="0">
      <selection activeCell="F1" sqref="F1"/>
    </sheetView>
  </sheetViews>
  <sheetFormatPr defaultRowHeight="15" x14ac:dyDescent="0.25"/>
  <cols>
    <col min="2" max="2" width="11" bestFit="1" customWidth="1"/>
    <col min="3" max="3" width="69.140625" customWidth="1"/>
    <col min="4" max="9" width="24.85546875" customWidth="1"/>
  </cols>
  <sheetData>
    <row r="2" spans="2:9" x14ac:dyDescent="0.25">
      <c r="B2" s="866" t="s">
        <v>736</v>
      </c>
    </row>
    <row r="5" spans="2:9" x14ac:dyDescent="0.25">
      <c r="B5" s="450"/>
      <c r="C5" s="1090" t="s">
        <v>737</v>
      </c>
      <c r="D5" s="1093" t="s">
        <v>738</v>
      </c>
      <c r="E5" s="1093"/>
      <c r="F5" s="1093" t="s">
        <v>739</v>
      </c>
      <c r="G5" s="1093"/>
      <c r="H5" s="1093" t="s">
        <v>740</v>
      </c>
      <c r="I5" s="1093"/>
    </row>
    <row r="6" spans="2:9" ht="30" x14ac:dyDescent="0.25">
      <c r="B6" s="644" t="s">
        <v>1423</v>
      </c>
      <c r="C6" s="1091"/>
      <c r="D6" s="469" t="s">
        <v>661</v>
      </c>
      <c r="E6" s="469" t="s">
        <v>415</v>
      </c>
      <c r="F6" s="469" t="s">
        <v>661</v>
      </c>
      <c r="G6" s="469" t="s">
        <v>415</v>
      </c>
      <c r="H6" s="469" t="s">
        <v>741</v>
      </c>
      <c r="I6" s="469" t="s">
        <v>742</v>
      </c>
    </row>
    <row r="7" spans="2:9" x14ac:dyDescent="0.25">
      <c r="B7" s="478"/>
      <c r="C7" s="1092"/>
      <c r="D7" s="465" t="s">
        <v>103</v>
      </c>
      <c r="E7" s="465" t="s">
        <v>102</v>
      </c>
      <c r="F7" s="465" t="s">
        <v>97</v>
      </c>
      <c r="G7" s="465" t="s">
        <v>96</v>
      </c>
      <c r="H7" s="465" t="s">
        <v>95</v>
      </c>
      <c r="I7" s="465" t="s">
        <v>111</v>
      </c>
    </row>
    <row r="8" spans="2:9" x14ac:dyDescent="0.25">
      <c r="B8" s="240">
        <v>1</v>
      </c>
      <c r="C8" s="641" t="s">
        <v>743</v>
      </c>
      <c r="D8" s="642">
        <f>735936250/1000</f>
        <v>735936.25</v>
      </c>
      <c r="E8" s="643">
        <v>0</v>
      </c>
      <c r="F8" s="643">
        <f>748226437/1000</f>
        <v>748226.43700000003</v>
      </c>
      <c r="G8" s="643">
        <f>3796319/1000</f>
        <v>3796.319</v>
      </c>
      <c r="H8" s="643">
        <v>0</v>
      </c>
      <c r="I8" s="243">
        <f t="shared" ref="I8:I9" si="0">+H8/(F8+G8)*100</f>
        <v>0</v>
      </c>
    </row>
    <row r="9" spans="2:9" x14ac:dyDescent="0.25">
      <c r="B9" s="240">
        <v>2</v>
      </c>
      <c r="C9" s="456" t="s">
        <v>744</v>
      </c>
      <c r="D9" s="241">
        <f>970311/1000</f>
        <v>970.31100000000004</v>
      </c>
      <c r="E9" s="242">
        <f>7280035/1000</f>
        <v>7280.0349999999999</v>
      </c>
      <c r="F9" s="242">
        <f>22179269/1000</f>
        <v>22179.269</v>
      </c>
      <c r="G9" s="242">
        <v>0</v>
      </c>
      <c r="H9" s="242">
        <v>0</v>
      </c>
      <c r="I9" s="243">
        <f t="shared" si="0"/>
        <v>0</v>
      </c>
    </row>
    <row r="10" spans="2:9" x14ac:dyDescent="0.25">
      <c r="B10" s="240">
        <v>3</v>
      </c>
      <c r="C10" s="456" t="s">
        <v>745</v>
      </c>
      <c r="D10" s="241">
        <v>0</v>
      </c>
      <c r="E10" s="242">
        <v>0</v>
      </c>
      <c r="F10" s="242">
        <v>0</v>
      </c>
      <c r="G10" s="242">
        <v>0</v>
      </c>
      <c r="H10" s="242">
        <v>0</v>
      </c>
      <c r="I10" s="243">
        <v>0</v>
      </c>
    </row>
    <row r="11" spans="2:9" x14ac:dyDescent="0.25">
      <c r="B11" s="240">
        <v>4</v>
      </c>
      <c r="C11" s="456" t="s">
        <v>746</v>
      </c>
      <c r="D11" s="241">
        <v>0</v>
      </c>
      <c r="E11" s="242">
        <v>0</v>
      </c>
      <c r="F11" s="242">
        <v>0</v>
      </c>
      <c r="G11" s="242">
        <v>0</v>
      </c>
      <c r="H11" s="242">
        <v>0</v>
      </c>
      <c r="I11" s="243">
        <v>0</v>
      </c>
    </row>
    <row r="12" spans="2:9" x14ac:dyDescent="0.25">
      <c r="B12" s="240">
        <v>5</v>
      </c>
      <c r="C12" s="456" t="s">
        <v>747</v>
      </c>
      <c r="D12" s="241">
        <v>0</v>
      </c>
      <c r="E12" s="242">
        <v>0</v>
      </c>
      <c r="F12" s="242">
        <v>0</v>
      </c>
      <c r="G12" s="242">
        <v>0</v>
      </c>
      <c r="H12" s="242">
        <v>0</v>
      </c>
      <c r="I12" s="243">
        <v>0</v>
      </c>
    </row>
    <row r="13" spans="2:9" x14ac:dyDescent="0.25">
      <c r="B13" s="240">
        <v>6</v>
      </c>
      <c r="C13" s="456" t="s">
        <v>476</v>
      </c>
      <c r="D13" s="241">
        <f>142835949/1000</f>
        <v>142835.94899999999</v>
      </c>
      <c r="E13" s="242">
        <f>71951552/1000</f>
        <v>71951.551999999996</v>
      </c>
      <c r="F13" s="242">
        <f>142835949/1000</f>
        <v>142835.94899999999</v>
      </c>
      <c r="G13" s="242">
        <f>31540002/1000</f>
        <v>31540.002</v>
      </c>
      <c r="H13" s="242">
        <f>(34274306+6308000)/1000</f>
        <v>40582.305999999997</v>
      </c>
      <c r="I13" s="243">
        <f t="shared" ref="I13:I24" si="1">+H13/(F13+G13)*100</f>
        <v>23.272880100306949</v>
      </c>
    </row>
    <row r="14" spans="2:9" x14ac:dyDescent="0.25">
      <c r="B14" s="240">
        <v>7</v>
      </c>
      <c r="C14" s="456" t="s">
        <v>482</v>
      </c>
      <c r="D14" s="241">
        <f>1295658593/1000</f>
        <v>1295658.5930000001</v>
      </c>
      <c r="E14" s="242">
        <f>789639352/1000</f>
        <v>789639.35199999996</v>
      </c>
      <c r="F14" s="242">
        <f>1245215932/1000</f>
        <v>1245215.932</v>
      </c>
      <c r="G14" s="242">
        <f>34303610/1000</f>
        <v>34303.61</v>
      </c>
      <c r="H14" s="242">
        <f>(1060562944+27619020)/1000</f>
        <v>1088181.9639999999</v>
      </c>
      <c r="I14" s="243">
        <f t="shared" si="1"/>
        <v>85.046138670072764</v>
      </c>
    </row>
    <row r="15" spans="2:9" x14ac:dyDescent="0.25">
      <c r="B15" s="240">
        <v>8</v>
      </c>
      <c r="C15" s="456" t="s">
        <v>748</v>
      </c>
      <c r="D15" s="241">
        <f>1314563065/1000</f>
        <v>1314563.0649999999</v>
      </c>
      <c r="E15" s="242">
        <f>2503271892/1000</f>
        <v>2503271.892</v>
      </c>
      <c r="F15" s="242">
        <f>1299017908/1000</f>
        <v>1299017.9080000001</v>
      </c>
      <c r="G15" s="242">
        <f>442186735/1000</f>
        <v>442186.73499999999</v>
      </c>
      <c r="H15" s="242">
        <f>(835007460+308692622)/1000</f>
        <v>1143700.0819999999</v>
      </c>
      <c r="I15" s="243">
        <f t="shared" si="1"/>
        <v>65.684414901942105</v>
      </c>
    </row>
    <row r="16" spans="2:9" x14ac:dyDescent="0.25">
      <c r="B16" s="240">
        <v>9</v>
      </c>
      <c r="C16" s="456" t="s">
        <v>478</v>
      </c>
      <c r="D16" s="241">
        <f>1200121129/1000</f>
        <v>1200121.129</v>
      </c>
      <c r="E16" s="242">
        <f>386254319/1000</f>
        <v>386254.31900000002</v>
      </c>
      <c r="F16" s="242">
        <f>1200121129/1000</f>
        <v>1200121.129</v>
      </c>
      <c r="G16" s="242">
        <f>386129792/1000</f>
        <v>386129.79200000002</v>
      </c>
      <c r="H16" s="242">
        <f>(427660221+136583329)/1000</f>
        <v>564243.55000000005</v>
      </c>
      <c r="I16" s="243">
        <f t="shared" si="1"/>
        <v>35.570888724483204</v>
      </c>
    </row>
    <row r="17" spans="2:9" x14ac:dyDescent="0.25">
      <c r="B17" s="240">
        <v>10</v>
      </c>
      <c r="C17" s="456" t="s">
        <v>484</v>
      </c>
      <c r="D17" s="241">
        <f>181244475/1000</f>
        <v>181244.47500000001</v>
      </c>
      <c r="E17" s="242">
        <f>51446059/1000</f>
        <v>51446.059000000001</v>
      </c>
      <c r="F17" s="242">
        <f>161310237/1000</f>
        <v>161310.23699999999</v>
      </c>
      <c r="G17" s="242">
        <f>22473641/1000</f>
        <v>22473.641</v>
      </c>
      <c r="H17" s="242">
        <f>(215072856+23368268)/1000</f>
        <v>238441.12400000001</v>
      </c>
      <c r="I17" s="243">
        <f t="shared" si="1"/>
        <v>129.73995684213392</v>
      </c>
    </row>
    <row r="18" spans="2:9" x14ac:dyDescent="0.25">
      <c r="B18" s="240">
        <v>11</v>
      </c>
      <c r="C18" s="456" t="s">
        <v>749</v>
      </c>
      <c r="D18" s="241">
        <f>75707060/1000</f>
        <v>75707.06</v>
      </c>
      <c r="E18" s="242">
        <f>2914371/1000</f>
        <v>2914.3710000000001</v>
      </c>
      <c r="F18" s="242">
        <f>1860045/1000</f>
        <v>1860.0450000000001</v>
      </c>
      <c r="G18" s="242">
        <v>0</v>
      </c>
      <c r="H18" s="242">
        <f>2790067/1000</f>
        <v>2790.067</v>
      </c>
      <c r="I18" s="243">
        <f t="shared" si="1"/>
        <v>149.99997311892992</v>
      </c>
    </row>
    <row r="19" spans="2:9" x14ac:dyDescent="0.25">
      <c r="B19" s="240">
        <v>12</v>
      </c>
      <c r="C19" s="456" t="s">
        <v>470</v>
      </c>
      <c r="D19" s="241">
        <v>0</v>
      </c>
      <c r="E19" s="242">
        <v>0</v>
      </c>
      <c r="F19" s="242">
        <v>0</v>
      </c>
      <c r="G19" s="242">
        <v>0</v>
      </c>
      <c r="H19" s="242">
        <v>0</v>
      </c>
      <c r="I19" s="243">
        <v>0</v>
      </c>
    </row>
    <row r="20" spans="2:9" x14ac:dyDescent="0.25">
      <c r="B20" s="240">
        <v>13</v>
      </c>
      <c r="C20" s="456" t="s">
        <v>750</v>
      </c>
      <c r="D20" s="241">
        <v>0</v>
      </c>
      <c r="E20" s="242">
        <v>0</v>
      </c>
      <c r="F20" s="242">
        <v>0</v>
      </c>
      <c r="G20" s="242">
        <v>0</v>
      </c>
      <c r="H20" s="242">
        <v>0</v>
      </c>
      <c r="I20" s="243">
        <v>0</v>
      </c>
    </row>
    <row r="21" spans="2:9" x14ac:dyDescent="0.25">
      <c r="B21" s="240">
        <v>14</v>
      </c>
      <c r="C21" s="456" t="s">
        <v>751</v>
      </c>
      <c r="D21" s="241">
        <v>0</v>
      </c>
      <c r="E21" s="242">
        <v>0</v>
      </c>
      <c r="F21" s="242">
        <v>0</v>
      </c>
      <c r="G21" s="242">
        <v>0</v>
      </c>
      <c r="H21" s="242">
        <v>0</v>
      </c>
      <c r="I21" s="243">
        <v>0</v>
      </c>
    </row>
    <row r="22" spans="2:9" x14ac:dyDescent="0.25">
      <c r="B22" s="240">
        <v>15</v>
      </c>
      <c r="C22" s="456" t="s">
        <v>182</v>
      </c>
      <c r="D22" s="241">
        <f>224851695/1000</f>
        <v>224851.69500000001</v>
      </c>
      <c r="E22" s="242">
        <v>0</v>
      </c>
      <c r="F22" s="242">
        <f>224851695/1000</f>
        <v>224851.69500000001</v>
      </c>
      <c r="G22" s="242">
        <v>0</v>
      </c>
      <c r="H22" s="242">
        <f>314044731/1000</f>
        <v>314044.73100000003</v>
      </c>
      <c r="I22" s="243">
        <f t="shared" si="1"/>
        <v>139.66749550186847</v>
      </c>
    </row>
    <row r="23" spans="2:9" x14ac:dyDescent="0.25">
      <c r="B23" s="240">
        <v>16</v>
      </c>
      <c r="C23" s="456" t="s">
        <v>752</v>
      </c>
      <c r="D23" s="241">
        <f>235150487/1000</f>
        <v>235150.48699999999</v>
      </c>
      <c r="E23" s="242">
        <v>0</v>
      </c>
      <c r="F23" s="242">
        <f>235150487/1000</f>
        <v>235150.48699999999</v>
      </c>
      <c r="G23" s="242">
        <v>0</v>
      </c>
      <c r="H23" s="242">
        <f>235031719/1000</f>
        <v>235031.71900000001</v>
      </c>
      <c r="I23" s="243">
        <f t="shared" si="1"/>
        <v>99.949492768858278</v>
      </c>
    </row>
    <row r="24" spans="2:9" x14ac:dyDescent="0.25">
      <c r="B24" s="245">
        <v>17</v>
      </c>
      <c r="C24" s="246" t="s">
        <v>753</v>
      </c>
      <c r="D24" s="241">
        <f>SUM(D8:D23)</f>
        <v>5407039.0139999995</v>
      </c>
      <c r="E24" s="241">
        <f t="shared" ref="E24:H24" si="2">SUM(E8:E23)</f>
        <v>3812757.58</v>
      </c>
      <c r="F24" s="241">
        <f t="shared" si="2"/>
        <v>5280769.0879999995</v>
      </c>
      <c r="G24" s="241">
        <f t="shared" si="2"/>
        <v>920430.09899999993</v>
      </c>
      <c r="H24" s="241">
        <f t="shared" si="2"/>
        <v>3627015.5429999996</v>
      </c>
      <c r="I24" s="243">
        <f t="shared" si="1"/>
        <v>58.488937923548114</v>
      </c>
    </row>
    <row r="26" spans="2:9" x14ac:dyDescent="0.25">
      <c r="E26" s="919"/>
    </row>
  </sheetData>
  <mergeCells count="4">
    <mergeCell ref="C5:C7"/>
    <mergeCell ref="D5:E5"/>
    <mergeCell ref="F5:G5"/>
    <mergeCell ref="H5:I5"/>
  </mergeCells>
  <hyperlinks>
    <hyperlink ref="B2" location="Indhold!B32" display="Skema EU CR4 — Standardmetode — Kreditrisikoeksponering og virkninger af kreditrisikoreduktionsteknikker" xr:uid="{3A45BCC7-831A-47D6-9B08-A77E0F8B5DD0}"/>
  </hyperlinks>
  <pageMargins left="0.70866141732283472" right="0.70866141732283472" top="0.74803149606299213" bottom="0.74803149606299213" header="0.31496062992125984" footer="0.31496062992125984"/>
  <pageSetup paperSize="9" scale="58" fitToHeight="0" orientation="landscape" r:id="rId1"/>
  <headerFooter>
    <oddHeader>&amp;CDA
Bilag XIX</oddHead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6F9E1-763C-46BB-9DE0-428B3FC8720F}">
  <sheetPr>
    <pageSetUpPr fitToPage="1"/>
  </sheetPr>
  <dimension ref="B2:V26"/>
  <sheetViews>
    <sheetView showGridLines="0" zoomScaleNormal="100" workbookViewId="0">
      <selection activeCell="F1" sqref="F1"/>
    </sheetView>
  </sheetViews>
  <sheetFormatPr defaultRowHeight="15" x14ac:dyDescent="0.25"/>
  <cols>
    <col min="2" max="2" width="11" bestFit="1" customWidth="1"/>
    <col min="3" max="3" width="38.140625" customWidth="1"/>
    <col min="4" max="4" width="10" bestFit="1" customWidth="1"/>
    <col min="5" max="7" width="4.42578125" customWidth="1"/>
    <col min="8" max="8" width="8.42578125" bestFit="1" customWidth="1"/>
    <col min="9" max="9" width="10" bestFit="1" customWidth="1"/>
    <col min="10" max="10" width="8.42578125" bestFit="1" customWidth="1"/>
    <col min="11" max="11" width="4.42578125" customWidth="1"/>
    <col min="12" max="13" width="10" bestFit="1" customWidth="1"/>
    <col min="14" max="14" width="8.42578125" bestFit="1" customWidth="1"/>
    <col min="15" max="15" width="8" bestFit="1" customWidth="1"/>
    <col min="16" max="16" width="6.140625" customWidth="1"/>
    <col min="17" max="17" width="7" customWidth="1"/>
    <col min="18" max="18" width="7.42578125" customWidth="1"/>
    <col min="19" max="19" width="10" bestFit="1" customWidth="1"/>
    <col min="20" max="20" width="16" bestFit="1" customWidth="1"/>
    <col min="21" max="21" width="11" bestFit="1" customWidth="1"/>
  </cols>
  <sheetData>
    <row r="2" spans="2:22" x14ac:dyDescent="0.25">
      <c r="B2" s="866" t="s">
        <v>754</v>
      </c>
    </row>
    <row r="5" spans="2:22" ht="15" customHeight="1" x14ac:dyDescent="0.25">
      <c r="B5" s="450"/>
      <c r="C5" s="1090" t="s">
        <v>737</v>
      </c>
      <c r="D5" s="1094" t="s">
        <v>755</v>
      </c>
      <c r="E5" s="1095"/>
      <c r="F5" s="1095"/>
      <c r="G5" s="1095"/>
      <c r="H5" s="1095"/>
      <c r="I5" s="1095"/>
      <c r="J5" s="1095"/>
      <c r="K5" s="1095"/>
      <c r="L5" s="1095"/>
      <c r="M5" s="1095"/>
      <c r="N5" s="1095"/>
      <c r="O5" s="1095"/>
      <c r="P5" s="1095"/>
      <c r="Q5" s="1095"/>
      <c r="R5" s="1096"/>
      <c r="S5" s="1097" t="s">
        <v>0</v>
      </c>
      <c r="T5" s="1097" t="s">
        <v>756</v>
      </c>
    </row>
    <row r="6" spans="2:22" x14ac:dyDescent="0.25">
      <c r="B6" s="644" t="s">
        <v>1423</v>
      </c>
      <c r="C6" s="1091"/>
      <c r="D6" s="645">
        <v>0</v>
      </c>
      <c r="E6" s="645">
        <v>0.02</v>
      </c>
      <c r="F6" s="645">
        <v>0.04</v>
      </c>
      <c r="G6" s="645">
        <v>0.1</v>
      </c>
      <c r="H6" s="645">
        <v>0.2</v>
      </c>
      <c r="I6" s="645">
        <v>0.35</v>
      </c>
      <c r="J6" s="645">
        <v>0.5</v>
      </c>
      <c r="K6" s="645">
        <v>0.7</v>
      </c>
      <c r="L6" s="645">
        <v>0.75</v>
      </c>
      <c r="M6" s="645">
        <v>1</v>
      </c>
      <c r="N6" s="645">
        <v>1.5</v>
      </c>
      <c r="O6" s="645">
        <v>2.5</v>
      </c>
      <c r="P6" s="645">
        <v>3.7</v>
      </c>
      <c r="Q6" s="645">
        <v>12.5</v>
      </c>
      <c r="R6" s="645" t="s">
        <v>757</v>
      </c>
      <c r="S6" s="1097"/>
      <c r="T6" s="1097"/>
    </row>
    <row r="7" spans="2:22" x14ac:dyDescent="0.25">
      <c r="B7" s="478"/>
      <c r="C7" s="1092"/>
      <c r="D7" s="465" t="s">
        <v>103</v>
      </c>
      <c r="E7" s="465" t="s">
        <v>102</v>
      </c>
      <c r="F7" s="465" t="s">
        <v>97</v>
      </c>
      <c r="G7" s="465" t="s">
        <v>96</v>
      </c>
      <c r="H7" s="465" t="s">
        <v>95</v>
      </c>
      <c r="I7" s="465" t="s">
        <v>111</v>
      </c>
      <c r="J7" s="465" t="s">
        <v>112</v>
      </c>
      <c r="K7" s="465" t="s">
        <v>164</v>
      </c>
      <c r="L7" s="465" t="s">
        <v>323</v>
      </c>
      <c r="M7" s="465" t="s">
        <v>324</v>
      </c>
      <c r="N7" s="465" t="s">
        <v>325</v>
      </c>
      <c r="O7" s="465" t="s">
        <v>326</v>
      </c>
      <c r="P7" s="465" t="s">
        <v>327</v>
      </c>
      <c r="Q7" s="465" t="s">
        <v>354</v>
      </c>
      <c r="R7" s="465" t="s">
        <v>570</v>
      </c>
      <c r="S7" s="465" t="s">
        <v>758</v>
      </c>
      <c r="T7" s="465" t="s">
        <v>759</v>
      </c>
    </row>
    <row r="8" spans="2:22" x14ac:dyDescent="0.25">
      <c r="B8" s="646">
        <v>1</v>
      </c>
      <c r="C8" s="647" t="s">
        <v>743</v>
      </c>
      <c r="D8" s="642">
        <f>752022756/1000</f>
        <v>752022.75600000005</v>
      </c>
      <c r="E8" s="643">
        <v>0</v>
      </c>
      <c r="F8" s="643">
        <v>0</v>
      </c>
      <c r="G8" s="643">
        <v>0</v>
      </c>
      <c r="H8" s="643">
        <v>0</v>
      </c>
      <c r="I8" s="643">
        <v>0</v>
      </c>
      <c r="J8" s="643">
        <v>0</v>
      </c>
      <c r="K8" s="643">
        <v>0</v>
      </c>
      <c r="L8" s="643">
        <v>0</v>
      </c>
      <c r="M8" s="643">
        <v>0</v>
      </c>
      <c r="N8" s="643">
        <v>0</v>
      </c>
      <c r="O8" s="643">
        <v>0</v>
      </c>
      <c r="P8" s="643">
        <v>0</v>
      </c>
      <c r="Q8" s="643">
        <v>0</v>
      </c>
      <c r="R8" s="643">
        <v>0</v>
      </c>
      <c r="S8" s="643">
        <f>SUM(D8:R8)</f>
        <v>752022.75600000005</v>
      </c>
      <c r="T8" s="643">
        <f>+S8</f>
        <v>752022.75600000005</v>
      </c>
    </row>
    <row r="9" spans="2:22" x14ac:dyDescent="0.25">
      <c r="B9" s="646">
        <v>2</v>
      </c>
      <c r="C9" s="456" t="s">
        <v>744</v>
      </c>
      <c r="D9" s="241">
        <f>22179269/1000</f>
        <v>22179.269</v>
      </c>
      <c r="E9" s="242">
        <v>0</v>
      </c>
      <c r="F9" s="242">
        <v>0</v>
      </c>
      <c r="G9" s="242">
        <v>0</v>
      </c>
      <c r="H9" s="242">
        <v>0</v>
      </c>
      <c r="I9" s="242">
        <v>0</v>
      </c>
      <c r="J9" s="242">
        <v>0</v>
      </c>
      <c r="K9" s="242">
        <v>0</v>
      </c>
      <c r="L9" s="242">
        <v>0</v>
      </c>
      <c r="M9" s="242">
        <v>0</v>
      </c>
      <c r="N9" s="242">
        <v>0</v>
      </c>
      <c r="O9" s="242">
        <v>0</v>
      </c>
      <c r="P9" s="242">
        <v>0</v>
      </c>
      <c r="Q9" s="242">
        <v>0</v>
      </c>
      <c r="R9" s="242">
        <v>0</v>
      </c>
      <c r="S9" s="242">
        <f t="shared" ref="S9:S23" si="0">SUM(D9:R9)</f>
        <v>22179.269</v>
      </c>
      <c r="T9" s="242">
        <f>+S9</f>
        <v>22179.269</v>
      </c>
    </row>
    <row r="10" spans="2:22" x14ac:dyDescent="0.25">
      <c r="B10" s="646">
        <v>3</v>
      </c>
      <c r="C10" s="456" t="s">
        <v>745</v>
      </c>
      <c r="D10" s="241">
        <v>0</v>
      </c>
      <c r="E10" s="242">
        <v>0</v>
      </c>
      <c r="F10" s="242">
        <v>0</v>
      </c>
      <c r="G10" s="242">
        <v>0</v>
      </c>
      <c r="H10" s="242">
        <v>0</v>
      </c>
      <c r="I10" s="242">
        <v>0</v>
      </c>
      <c r="J10" s="242">
        <v>0</v>
      </c>
      <c r="K10" s="242">
        <v>0</v>
      </c>
      <c r="L10" s="242">
        <v>0</v>
      </c>
      <c r="M10" s="242">
        <v>0</v>
      </c>
      <c r="N10" s="242">
        <v>0</v>
      </c>
      <c r="O10" s="242">
        <v>0</v>
      </c>
      <c r="P10" s="242">
        <v>0</v>
      </c>
      <c r="Q10" s="242">
        <v>0</v>
      </c>
      <c r="R10" s="242">
        <v>0</v>
      </c>
      <c r="S10" s="242">
        <f t="shared" si="0"/>
        <v>0</v>
      </c>
      <c r="T10" s="242">
        <f>+S10</f>
        <v>0</v>
      </c>
    </row>
    <row r="11" spans="2:22" x14ac:dyDescent="0.25">
      <c r="B11" s="646">
        <v>4</v>
      </c>
      <c r="C11" s="456" t="s">
        <v>746</v>
      </c>
      <c r="D11" s="241">
        <v>0</v>
      </c>
      <c r="E11" s="242">
        <v>0</v>
      </c>
      <c r="F11" s="242">
        <v>0</v>
      </c>
      <c r="G11" s="242">
        <v>0</v>
      </c>
      <c r="H11" s="242">
        <v>0</v>
      </c>
      <c r="I11" s="242">
        <v>0</v>
      </c>
      <c r="J11" s="242">
        <v>0</v>
      </c>
      <c r="K11" s="242">
        <v>0</v>
      </c>
      <c r="L11" s="242">
        <v>0</v>
      </c>
      <c r="M11" s="242">
        <v>0</v>
      </c>
      <c r="N11" s="242">
        <v>0</v>
      </c>
      <c r="O11" s="242">
        <v>0</v>
      </c>
      <c r="P11" s="242">
        <v>0</v>
      </c>
      <c r="Q11" s="242">
        <v>0</v>
      </c>
      <c r="R11" s="242">
        <v>0</v>
      </c>
      <c r="S11" s="242">
        <f t="shared" si="0"/>
        <v>0</v>
      </c>
      <c r="T11" s="242">
        <f t="shared" ref="T11:T12" si="1">+S11</f>
        <v>0</v>
      </c>
    </row>
    <row r="12" spans="2:22" x14ac:dyDescent="0.25">
      <c r="B12" s="646">
        <v>5</v>
      </c>
      <c r="C12" s="456" t="s">
        <v>747</v>
      </c>
      <c r="D12" s="241">
        <v>0</v>
      </c>
      <c r="E12" s="242">
        <v>0</v>
      </c>
      <c r="F12" s="242">
        <v>0</v>
      </c>
      <c r="G12" s="242">
        <v>0</v>
      </c>
      <c r="H12" s="242">
        <v>0</v>
      </c>
      <c r="I12" s="242">
        <v>0</v>
      </c>
      <c r="J12" s="242">
        <v>0</v>
      </c>
      <c r="K12" s="242">
        <v>0</v>
      </c>
      <c r="L12" s="242">
        <v>0</v>
      </c>
      <c r="M12" s="242">
        <v>0</v>
      </c>
      <c r="N12" s="242">
        <v>0</v>
      </c>
      <c r="O12" s="242">
        <v>0</v>
      </c>
      <c r="P12" s="242">
        <v>0</v>
      </c>
      <c r="Q12" s="242">
        <v>0</v>
      </c>
      <c r="R12" s="242">
        <v>0</v>
      </c>
      <c r="S12" s="242">
        <f t="shared" si="0"/>
        <v>0</v>
      </c>
      <c r="T12" s="242">
        <f t="shared" si="1"/>
        <v>0</v>
      </c>
    </row>
    <row r="13" spans="2:22" x14ac:dyDescent="0.25">
      <c r="B13" s="646">
        <v>6</v>
      </c>
      <c r="C13" s="456" t="s">
        <v>476</v>
      </c>
      <c r="D13" s="241">
        <v>0</v>
      </c>
      <c r="E13" s="242">
        <v>0</v>
      </c>
      <c r="F13" s="242">
        <v>0</v>
      </c>
      <c r="G13" s="242">
        <v>0</v>
      </c>
      <c r="H13" s="242">
        <f>(165847672-10495442)/1000</f>
        <v>155352.23000000001</v>
      </c>
      <c r="I13" s="242">
        <v>0</v>
      </c>
      <c r="J13" s="242">
        <f>(19174597-150876)/1000</f>
        <v>19023.721000000001</v>
      </c>
      <c r="K13" s="242">
        <v>0</v>
      </c>
      <c r="L13" s="242">
        <v>0</v>
      </c>
      <c r="M13" s="242">
        <v>0</v>
      </c>
      <c r="N13" s="242">
        <v>0</v>
      </c>
      <c r="O13" s="242">
        <v>0</v>
      </c>
      <c r="P13" s="242">
        <v>0</v>
      </c>
      <c r="Q13" s="242">
        <v>0</v>
      </c>
      <c r="R13" s="242">
        <v>0</v>
      </c>
      <c r="S13" s="242">
        <f t="shared" si="0"/>
        <v>174375.951</v>
      </c>
      <c r="T13" s="242">
        <f>+S13-(38809106/1000)</f>
        <v>135566.845</v>
      </c>
      <c r="U13" s="923"/>
      <c r="V13" s="792"/>
    </row>
    <row r="14" spans="2:22" x14ac:dyDescent="0.25">
      <c r="B14" s="646">
        <v>7</v>
      </c>
      <c r="C14" s="456" t="s">
        <v>482</v>
      </c>
      <c r="D14" s="241">
        <v>0</v>
      </c>
      <c r="E14" s="242">
        <v>0</v>
      </c>
      <c r="F14" s="242">
        <v>0</v>
      </c>
      <c r="G14" s="242">
        <v>0</v>
      </c>
      <c r="H14" s="242">
        <v>0</v>
      </c>
      <c r="I14" s="242">
        <v>0</v>
      </c>
      <c r="J14" s="242">
        <v>0</v>
      </c>
      <c r="K14" s="242">
        <v>0</v>
      </c>
      <c r="L14" s="242">
        <v>0</v>
      </c>
      <c r="M14" s="242">
        <f>(1279527962-8420)/1000</f>
        <v>1279519.5419999999</v>
      </c>
      <c r="N14" s="242">
        <v>0</v>
      </c>
      <c r="O14" s="242">
        <v>0</v>
      </c>
      <c r="P14" s="242">
        <v>0</v>
      </c>
      <c r="Q14" s="242">
        <v>0</v>
      </c>
      <c r="R14" s="242">
        <v>0</v>
      </c>
      <c r="S14" s="242">
        <f t="shared" si="0"/>
        <v>1279519.5419999999</v>
      </c>
      <c r="T14" s="242">
        <f>+S14</f>
        <v>1279519.5419999999</v>
      </c>
    </row>
    <row r="15" spans="2:22" x14ac:dyDescent="0.25">
      <c r="B15" s="646">
        <v>8</v>
      </c>
      <c r="C15" s="456" t="s">
        <v>480</v>
      </c>
      <c r="D15" s="241">
        <v>0</v>
      </c>
      <c r="E15" s="242">
        <v>0</v>
      </c>
      <c r="F15" s="242">
        <v>0</v>
      </c>
      <c r="G15" s="242">
        <v>0</v>
      </c>
      <c r="H15" s="242">
        <v>0</v>
      </c>
      <c r="I15" s="242">
        <v>0</v>
      </c>
      <c r="J15" s="242">
        <v>0</v>
      </c>
      <c r="K15" s="242">
        <v>0</v>
      </c>
      <c r="L15" s="242">
        <f>(1741286395-81752)/1000</f>
        <v>1741204.6429999999</v>
      </c>
      <c r="M15" s="242"/>
      <c r="N15" s="242"/>
      <c r="O15" s="242"/>
      <c r="P15" s="242"/>
      <c r="Q15" s="242"/>
      <c r="R15" s="242"/>
      <c r="S15" s="242">
        <f t="shared" si="0"/>
        <v>1741204.6429999999</v>
      </c>
      <c r="T15" s="242">
        <f t="shared" ref="T15:T23" si="2">+S15</f>
        <v>1741204.6429999999</v>
      </c>
    </row>
    <row r="16" spans="2:22" ht="30" x14ac:dyDescent="0.25">
      <c r="B16" s="646">
        <v>9</v>
      </c>
      <c r="C16" s="456" t="s">
        <v>760</v>
      </c>
      <c r="D16" s="241">
        <v>0</v>
      </c>
      <c r="E16" s="242">
        <v>0</v>
      </c>
      <c r="F16" s="242">
        <v>0</v>
      </c>
      <c r="G16" s="242">
        <v>0</v>
      </c>
      <c r="H16" s="242">
        <v>0</v>
      </c>
      <c r="I16" s="242">
        <f>1328639012/1000</f>
        <v>1328639.0120000001</v>
      </c>
      <c r="J16" s="242">
        <f>257611909/1000</f>
        <v>257611.90900000001</v>
      </c>
      <c r="K16" s="242">
        <v>0</v>
      </c>
      <c r="L16" s="242">
        <v>0</v>
      </c>
      <c r="M16" s="242">
        <v>0</v>
      </c>
      <c r="N16" s="242">
        <v>0</v>
      </c>
      <c r="O16" s="242">
        <v>0</v>
      </c>
      <c r="P16" s="242">
        <v>0</v>
      </c>
      <c r="Q16" s="242">
        <v>0</v>
      </c>
      <c r="R16" s="242">
        <v>0</v>
      </c>
      <c r="S16" s="242">
        <f t="shared" si="0"/>
        <v>1586250.9210000001</v>
      </c>
      <c r="T16" s="242">
        <f t="shared" si="2"/>
        <v>1586250.9210000001</v>
      </c>
    </row>
    <row r="17" spans="2:20" x14ac:dyDescent="0.25">
      <c r="B17" s="646">
        <v>10</v>
      </c>
      <c r="C17" s="456" t="s">
        <v>484</v>
      </c>
      <c r="D17" s="241">
        <v>0</v>
      </c>
      <c r="E17" s="242">
        <v>0</v>
      </c>
      <c r="F17" s="242">
        <v>0</v>
      </c>
      <c r="G17" s="242">
        <v>0</v>
      </c>
      <c r="H17" s="242">
        <v>0</v>
      </c>
      <c r="I17" s="242">
        <v>0</v>
      </c>
      <c r="J17" s="242">
        <v>0</v>
      </c>
      <c r="K17" s="242">
        <v>0</v>
      </c>
      <c r="L17" s="242">
        <v>0</v>
      </c>
      <c r="M17" s="242">
        <f>74469388/1000</f>
        <v>74469.388000000006</v>
      </c>
      <c r="N17" s="242">
        <f>109314490/1000</f>
        <v>109314.49</v>
      </c>
      <c r="O17" s="242">
        <v>0</v>
      </c>
      <c r="P17" s="242">
        <v>0</v>
      </c>
      <c r="Q17" s="242">
        <v>0</v>
      </c>
      <c r="R17" s="242">
        <v>0</v>
      </c>
      <c r="S17" s="242">
        <f t="shared" si="0"/>
        <v>183783.87800000003</v>
      </c>
      <c r="T17" s="242">
        <f t="shared" si="2"/>
        <v>183783.87800000003</v>
      </c>
    </row>
    <row r="18" spans="2:20" ht="30" x14ac:dyDescent="0.25">
      <c r="B18" s="646">
        <v>11</v>
      </c>
      <c r="C18" s="456" t="s">
        <v>749</v>
      </c>
      <c r="D18" s="241">
        <v>0</v>
      </c>
      <c r="E18" s="242">
        <v>0</v>
      </c>
      <c r="F18" s="242">
        <v>0</v>
      </c>
      <c r="G18" s="242">
        <v>0</v>
      </c>
      <c r="H18" s="242">
        <v>0</v>
      </c>
      <c r="I18" s="242">
        <v>0</v>
      </c>
      <c r="J18" s="242">
        <v>0</v>
      </c>
      <c r="K18" s="242">
        <v>0</v>
      </c>
      <c r="L18" s="242">
        <v>0</v>
      </c>
      <c r="M18" s="242">
        <v>0</v>
      </c>
      <c r="N18" s="242">
        <f>1860045/1000</f>
        <v>1860.0450000000001</v>
      </c>
      <c r="O18" s="242">
        <v>0</v>
      </c>
      <c r="P18" s="242">
        <v>0</v>
      </c>
      <c r="Q18" s="242">
        <v>0</v>
      </c>
      <c r="R18" s="242">
        <v>0</v>
      </c>
      <c r="S18" s="242">
        <f t="shared" si="0"/>
        <v>1860.0450000000001</v>
      </c>
      <c r="T18" s="242">
        <f t="shared" si="2"/>
        <v>1860.0450000000001</v>
      </c>
    </row>
    <row r="19" spans="2:20" ht="30" x14ac:dyDescent="0.25">
      <c r="B19" s="646">
        <v>12</v>
      </c>
      <c r="C19" s="456" t="s">
        <v>470</v>
      </c>
      <c r="D19" s="241">
        <v>0</v>
      </c>
      <c r="E19" s="242">
        <v>0</v>
      </c>
      <c r="F19" s="242">
        <v>0</v>
      </c>
      <c r="G19" s="242">
        <v>0</v>
      </c>
      <c r="H19" s="242">
        <v>0</v>
      </c>
      <c r="I19" s="242">
        <v>0</v>
      </c>
      <c r="J19" s="242">
        <v>0</v>
      </c>
      <c r="K19" s="242">
        <v>0</v>
      </c>
      <c r="L19" s="242">
        <v>0</v>
      </c>
      <c r="M19" s="242">
        <v>0</v>
      </c>
      <c r="N19" s="242">
        <v>0</v>
      </c>
      <c r="O19" s="242">
        <v>0</v>
      </c>
      <c r="P19" s="242">
        <v>0</v>
      </c>
      <c r="Q19" s="242">
        <v>0</v>
      </c>
      <c r="R19" s="242">
        <v>0</v>
      </c>
      <c r="S19" s="242">
        <f t="shared" si="0"/>
        <v>0</v>
      </c>
      <c r="T19" s="242">
        <f t="shared" si="2"/>
        <v>0</v>
      </c>
    </row>
    <row r="20" spans="2:20" ht="30" x14ac:dyDescent="0.25">
      <c r="B20" s="646">
        <v>13</v>
      </c>
      <c r="C20" s="456" t="s">
        <v>761</v>
      </c>
      <c r="D20" s="241">
        <v>0</v>
      </c>
      <c r="E20" s="242">
        <v>0</v>
      </c>
      <c r="F20" s="242">
        <v>0</v>
      </c>
      <c r="G20" s="242">
        <v>0</v>
      </c>
      <c r="H20" s="242">
        <v>0</v>
      </c>
      <c r="I20" s="242">
        <v>0</v>
      </c>
      <c r="J20" s="242">
        <v>0</v>
      </c>
      <c r="K20" s="242">
        <v>0</v>
      </c>
      <c r="L20" s="242">
        <v>0</v>
      </c>
      <c r="M20" s="242">
        <v>0</v>
      </c>
      <c r="N20" s="242">
        <v>0</v>
      </c>
      <c r="O20" s="242">
        <v>0</v>
      </c>
      <c r="P20" s="242">
        <v>0</v>
      </c>
      <c r="Q20" s="242">
        <v>0</v>
      </c>
      <c r="R20" s="242">
        <v>0</v>
      </c>
      <c r="S20" s="242">
        <f t="shared" si="0"/>
        <v>0</v>
      </c>
      <c r="T20" s="242">
        <f t="shared" si="2"/>
        <v>0</v>
      </c>
    </row>
    <row r="21" spans="2:20" x14ac:dyDescent="0.25">
      <c r="B21" s="646">
        <v>14</v>
      </c>
      <c r="C21" s="456" t="s">
        <v>762</v>
      </c>
      <c r="D21" s="241">
        <v>0</v>
      </c>
      <c r="E21" s="242">
        <v>0</v>
      </c>
      <c r="F21" s="242">
        <v>0</v>
      </c>
      <c r="G21" s="242">
        <v>0</v>
      </c>
      <c r="H21" s="242">
        <v>0</v>
      </c>
      <c r="I21" s="242">
        <v>0</v>
      </c>
      <c r="J21" s="242">
        <v>0</v>
      </c>
      <c r="K21" s="242">
        <v>0</v>
      </c>
      <c r="L21" s="242">
        <v>0</v>
      </c>
      <c r="M21" s="242">
        <v>0</v>
      </c>
      <c r="N21" s="242">
        <v>0</v>
      </c>
      <c r="O21" s="242">
        <v>0</v>
      </c>
      <c r="P21" s="242">
        <v>0</v>
      </c>
      <c r="Q21" s="242">
        <v>0</v>
      </c>
      <c r="R21" s="242">
        <v>0</v>
      </c>
      <c r="S21" s="242">
        <f t="shared" si="0"/>
        <v>0</v>
      </c>
      <c r="T21" s="242">
        <f t="shared" si="2"/>
        <v>0</v>
      </c>
    </row>
    <row r="22" spans="2:20" x14ac:dyDescent="0.25">
      <c r="B22" s="646">
        <v>15</v>
      </c>
      <c r="C22" s="456" t="s">
        <v>763</v>
      </c>
      <c r="D22" s="241">
        <v>0</v>
      </c>
      <c r="E22" s="242">
        <v>0</v>
      </c>
      <c r="F22" s="242">
        <v>0</v>
      </c>
      <c r="G22" s="242">
        <v>0</v>
      </c>
      <c r="H22" s="242">
        <v>0</v>
      </c>
      <c r="I22" s="242">
        <v>0</v>
      </c>
      <c r="J22" s="242">
        <v>0</v>
      </c>
      <c r="K22" s="242">
        <v>0</v>
      </c>
      <c r="L22" s="242">
        <v>0</v>
      </c>
      <c r="M22" s="242">
        <f>165389671/1000</f>
        <v>165389.671</v>
      </c>
      <c r="N22" s="242">
        <v>0</v>
      </c>
      <c r="O22" s="242">
        <f>59462024/1000</f>
        <v>59462.023999999998</v>
      </c>
      <c r="P22" s="242">
        <v>0</v>
      </c>
      <c r="Q22" s="242">
        <v>0</v>
      </c>
      <c r="R22" s="242">
        <v>0</v>
      </c>
      <c r="S22" s="242">
        <f t="shared" si="0"/>
        <v>224851.69500000001</v>
      </c>
      <c r="T22" s="242">
        <f t="shared" si="2"/>
        <v>224851.69500000001</v>
      </c>
    </row>
    <row r="23" spans="2:20" x14ac:dyDescent="0.25">
      <c r="B23" s="646">
        <v>16</v>
      </c>
      <c r="C23" s="456" t="s">
        <v>752</v>
      </c>
      <c r="D23" s="241">
        <f>118768/1000</f>
        <v>118.768</v>
      </c>
      <c r="E23" s="242">
        <v>0</v>
      </c>
      <c r="F23" s="242">
        <v>0</v>
      </c>
      <c r="G23" s="242">
        <v>0</v>
      </c>
      <c r="H23" s="242">
        <v>0</v>
      </c>
      <c r="I23" s="242">
        <v>0</v>
      </c>
      <c r="J23" s="242">
        <v>0</v>
      </c>
      <c r="K23" s="242">
        <v>0</v>
      </c>
      <c r="L23" s="242">
        <v>0</v>
      </c>
      <c r="M23" s="242">
        <f>235031719/1000</f>
        <v>235031.71900000001</v>
      </c>
      <c r="N23" s="242">
        <v>0</v>
      </c>
      <c r="O23" s="242">
        <v>0</v>
      </c>
      <c r="P23" s="242">
        <v>0</v>
      </c>
      <c r="Q23" s="242">
        <v>0</v>
      </c>
      <c r="R23" s="242">
        <v>0</v>
      </c>
      <c r="S23" s="242">
        <f t="shared" si="0"/>
        <v>235150.48700000002</v>
      </c>
      <c r="T23" s="242">
        <f t="shared" si="2"/>
        <v>235150.48700000002</v>
      </c>
    </row>
    <row r="24" spans="2:20" x14ac:dyDescent="0.25">
      <c r="B24" s="453">
        <v>17</v>
      </c>
      <c r="C24" s="54" t="s">
        <v>753</v>
      </c>
      <c r="D24" s="241">
        <f>SUM(D8:D23)</f>
        <v>774320.79300000006</v>
      </c>
      <c r="E24" s="241">
        <f t="shared" ref="E24:R24" si="3">SUM(E8:E23)</f>
        <v>0</v>
      </c>
      <c r="F24" s="241">
        <f t="shared" si="3"/>
        <v>0</v>
      </c>
      <c r="G24" s="241">
        <f t="shared" si="3"/>
        <v>0</v>
      </c>
      <c r="H24" s="241">
        <f t="shared" si="3"/>
        <v>155352.23000000001</v>
      </c>
      <c r="I24" s="241">
        <f t="shared" si="3"/>
        <v>1328639.0120000001</v>
      </c>
      <c r="J24" s="241">
        <f t="shared" si="3"/>
        <v>276635.63</v>
      </c>
      <c r="K24" s="241">
        <f t="shared" si="3"/>
        <v>0</v>
      </c>
      <c r="L24" s="241">
        <f t="shared" si="3"/>
        <v>1741204.6429999999</v>
      </c>
      <c r="M24" s="241">
        <f t="shared" si="3"/>
        <v>1754410.32</v>
      </c>
      <c r="N24" s="241">
        <f t="shared" si="3"/>
        <v>111174.535</v>
      </c>
      <c r="O24" s="920">
        <f t="shared" si="3"/>
        <v>59462.023999999998</v>
      </c>
      <c r="P24" s="920">
        <f t="shared" si="3"/>
        <v>0</v>
      </c>
      <c r="Q24" s="920">
        <f t="shared" si="3"/>
        <v>0</v>
      </c>
      <c r="R24" s="920">
        <f t="shared" si="3"/>
        <v>0</v>
      </c>
      <c r="S24" s="921">
        <f>SUM(S8:S23)</f>
        <v>6201199.1870000008</v>
      </c>
      <c r="T24" s="242">
        <f>SUM(T8:T23)</f>
        <v>6162390.0810000002</v>
      </c>
    </row>
    <row r="25" spans="2:20" x14ac:dyDescent="0.25">
      <c r="N25" s="918"/>
      <c r="O25" s="922"/>
      <c r="P25" s="922"/>
      <c r="Q25" s="922"/>
      <c r="R25" s="922"/>
      <c r="S25" s="794"/>
    </row>
    <row r="26" spans="2:20" x14ac:dyDescent="0.25">
      <c r="E26" s="918"/>
      <c r="F26" s="918"/>
      <c r="G26" s="918"/>
    </row>
  </sheetData>
  <mergeCells count="4">
    <mergeCell ref="C5:C7"/>
    <mergeCell ref="D5:R5"/>
    <mergeCell ref="S5:S6"/>
    <mergeCell ref="T5:T6"/>
  </mergeCells>
  <hyperlinks>
    <hyperlink ref="B2" location="Indhold!B33" display="Skema CR5 — Standardmetode" xr:uid="{094F5897-5F73-47EC-B097-3ED5A81C9C78}"/>
  </hyperlinks>
  <pageMargins left="0.70866141732283472" right="0.70866141732283472" top="0.74803149606299213" bottom="0.74803149606299213" header="0.31496062992125984" footer="0.31496062992125984"/>
  <pageSetup paperSize="9" scale="73" orientation="landscape" r:id="rId1"/>
  <headerFooter>
    <oddHeader>&amp;CDA
Bilag 23</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08B85-C3BB-401F-9925-3076550953AB}">
  <sheetPr>
    <pageSetUpPr fitToPage="1"/>
  </sheetPr>
  <dimension ref="B2:E16"/>
  <sheetViews>
    <sheetView showGridLines="0" zoomScaleNormal="100" workbookViewId="0">
      <selection activeCell="F1" sqref="F1"/>
    </sheetView>
  </sheetViews>
  <sheetFormatPr defaultColWidth="9.140625" defaultRowHeight="15" x14ac:dyDescent="0.25"/>
  <cols>
    <col min="2" max="2" width="12.42578125" customWidth="1"/>
    <col min="3" max="3" width="79.42578125" customWidth="1"/>
    <col min="4" max="4" width="15.5703125" customWidth="1"/>
    <col min="5" max="5" width="18.7109375" customWidth="1"/>
  </cols>
  <sheetData>
    <row r="2" spans="2:5" x14ac:dyDescent="0.25">
      <c r="B2" s="866" t="s">
        <v>919</v>
      </c>
    </row>
    <row r="3" spans="2:5" x14ac:dyDescent="0.25">
      <c r="B3" s="319"/>
      <c r="D3" s="319"/>
      <c r="E3" s="319"/>
    </row>
    <row r="4" spans="2:5" x14ac:dyDescent="0.25">
      <c r="B4" s="319"/>
      <c r="D4" s="319"/>
      <c r="E4" s="319"/>
    </row>
    <row r="5" spans="2:5" ht="15.75" x14ac:dyDescent="0.25">
      <c r="B5" s="654"/>
      <c r="C5" s="655" t="s">
        <v>902</v>
      </c>
      <c r="D5" s="657" t="s">
        <v>103</v>
      </c>
      <c r="E5" s="657" t="s">
        <v>102</v>
      </c>
    </row>
    <row r="6" spans="2:5" x14ac:dyDescent="0.25">
      <c r="B6" s="658" t="s">
        <v>1423</v>
      </c>
      <c r="C6" s="1098"/>
      <c r="D6" s="1099" t="s">
        <v>1275</v>
      </c>
      <c r="E6" s="1099" t="s">
        <v>90</v>
      </c>
    </row>
    <row r="7" spans="2:5" ht="15" customHeight="1" x14ac:dyDescent="0.25">
      <c r="B7" s="654"/>
      <c r="C7" s="1098"/>
      <c r="D7" s="1100"/>
      <c r="E7" s="1100"/>
    </row>
    <row r="8" spans="2:5" x14ac:dyDescent="0.25">
      <c r="B8" s="545">
        <v>1</v>
      </c>
      <c r="C8" s="9" t="s">
        <v>920</v>
      </c>
      <c r="D8" s="659">
        <v>0</v>
      </c>
      <c r="E8" s="457">
        <v>0</v>
      </c>
    </row>
    <row r="9" spans="2:5" x14ac:dyDescent="0.25">
      <c r="B9" s="545">
        <v>2</v>
      </c>
      <c r="C9" s="9" t="s">
        <v>921</v>
      </c>
      <c r="D9" s="648"/>
      <c r="E9" s="55">
        <v>0</v>
      </c>
    </row>
    <row r="10" spans="2:5" ht="30" x14ac:dyDescent="0.25">
      <c r="B10" s="545">
        <v>3</v>
      </c>
      <c r="C10" s="9" t="s">
        <v>922</v>
      </c>
      <c r="D10" s="648"/>
      <c r="E10" s="55">
        <v>0</v>
      </c>
    </row>
    <row r="11" spans="2:5" x14ac:dyDescent="0.25">
      <c r="B11" s="545">
        <v>4</v>
      </c>
      <c r="C11" s="9" t="s">
        <v>923</v>
      </c>
      <c r="D11" s="55">
        <f>10649318/1000</f>
        <v>10649.317999999999</v>
      </c>
      <c r="E11" s="55">
        <f>2996340/1000</f>
        <v>2996.34</v>
      </c>
    </row>
    <row r="12" spans="2:5" ht="30" x14ac:dyDescent="0.25">
      <c r="B12" s="660" t="s">
        <v>469</v>
      </c>
      <c r="C12" s="661" t="s">
        <v>1462</v>
      </c>
      <c r="D12" s="55">
        <v>0</v>
      </c>
      <c r="E12" s="55">
        <v>0</v>
      </c>
    </row>
    <row r="13" spans="2:5" ht="30" x14ac:dyDescent="0.25">
      <c r="B13" s="545">
        <v>5</v>
      </c>
      <c r="C13" s="5" t="s">
        <v>924</v>
      </c>
      <c r="D13" s="651">
        <f>10649318/1000</f>
        <v>10649.317999999999</v>
      </c>
      <c r="E13" s="55">
        <f>2996340/1000</f>
        <v>2996.34</v>
      </c>
    </row>
    <row r="14" spans="2:5" x14ac:dyDescent="0.25">
      <c r="C14" s="1"/>
    </row>
    <row r="15" spans="2:5" x14ac:dyDescent="0.25">
      <c r="B15" s="315"/>
    </row>
    <row r="16" spans="2:5" x14ac:dyDescent="0.25">
      <c r="B16" s="315"/>
    </row>
  </sheetData>
  <mergeCells count="3">
    <mergeCell ref="C6:C7"/>
    <mergeCell ref="D6:D7"/>
    <mergeCell ref="E6:E7"/>
  </mergeCells>
  <hyperlinks>
    <hyperlink ref="B2" location="Indhold!B35" display="Skema EU CCR2 – Transaktioner underlagt kapitalgrundlagskrav for kreditværdijusteringsrisiko" xr:uid="{18C30A11-2E3A-4A8E-8CAF-4689046E057B}"/>
  </hyperlinks>
  <pageMargins left="0.70866141732283472" right="0.70866141732283472" top="0.74803149606299213" bottom="0.74803149606299213" header="0.31496062992125984" footer="0.31496062992125984"/>
  <pageSetup paperSize="9" scale="99" orientation="landscape" r:id="rId1"/>
  <headerFooter>
    <oddHeader>&amp;CDA
Bilag XXV</oddHead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0C740-C826-4A7A-B9A5-C864C809D4E7}">
  <sheetPr>
    <pageSetUpPr fitToPage="1"/>
  </sheetPr>
  <dimension ref="B2:Q20"/>
  <sheetViews>
    <sheetView showGridLines="0" zoomScaleNormal="100" workbookViewId="0">
      <selection activeCell="F1" sqref="F1"/>
    </sheetView>
  </sheetViews>
  <sheetFormatPr defaultColWidth="9.140625" defaultRowHeight="15" x14ac:dyDescent="0.25"/>
  <cols>
    <col min="2" max="2" width="10.85546875" style="85" customWidth="1"/>
    <col min="3" max="3" width="56.7109375" customWidth="1"/>
    <col min="15" max="15" width="20.140625" style="1" customWidth="1"/>
  </cols>
  <sheetData>
    <row r="2" spans="2:17" x14ac:dyDescent="0.25">
      <c r="B2" s="866" t="s">
        <v>925</v>
      </c>
    </row>
    <row r="3" spans="2:17" ht="15.75" x14ac:dyDescent="0.25">
      <c r="B3" s="310" t="s">
        <v>902</v>
      </c>
    </row>
    <row r="4" spans="2:17" x14ac:dyDescent="0.25">
      <c r="B4" s="321"/>
    </row>
    <row r="5" spans="2:17" ht="20.100000000000001" customHeight="1" x14ac:dyDescent="0.25">
      <c r="B5" s="680"/>
      <c r="C5" s="1101" t="s">
        <v>926</v>
      </c>
      <c r="D5" s="1104" t="s">
        <v>755</v>
      </c>
      <c r="E5" s="1105"/>
      <c r="F5" s="1105"/>
      <c r="G5" s="1105"/>
      <c r="H5" s="1105"/>
      <c r="I5" s="1105"/>
      <c r="J5" s="1105"/>
      <c r="K5" s="1105"/>
      <c r="L5" s="1105"/>
      <c r="M5" s="1105"/>
      <c r="N5" s="1106"/>
      <c r="O5" s="543"/>
    </row>
    <row r="6" spans="2:17" ht="20.100000000000001" customHeight="1" x14ac:dyDescent="0.25">
      <c r="B6" s="680"/>
      <c r="C6" s="1102"/>
      <c r="D6" s="464" t="s">
        <v>103</v>
      </c>
      <c r="E6" s="464" t="s">
        <v>102</v>
      </c>
      <c r="F6" s="464" t="s">
        <v>97</v>
      </c>
      <c r="G6" s="464" t="s">
        <v>96</v>
      </c>
      <c r="H6" s="464" t="s">
        <v>95</v>
      </c>
      <c r="I6" s="464" t="s">
        <v>111</v>
      </c>
      <c r="J6" s="464" t="s">
        <v>112</v>
      </c>
      <c r="K6" s="464" t="s">
        <v>164</v>
      </c>
      <c r="L6" s="464" t="s">
        <v>323</v>
      </c>
      <c r="M6" s="464" t="s">
        <v>324</v>
      </c>
      <c r="N6" s="464" t="s">
        <v>325</v>
      </c>
      <c r="O6" s="464" t="s">
        <v>326</v>
      </c>
    </row>
    <row r="7" spans="2:17" ht="31.5" customHeight="1" x14ac:dyDescent="0.25">
      <c r="B7" s="682" t="s">
        <v>1423</v>
      </c>
      <c r="C7" s="1103"/>
      <c r="D7" s="681">
        <v>0</v>
      </c>
      <c r="E7" s="681">
        <v>0.02</v>
      </c>
      <c r="F7" s="681">
        <v>0.04</v>
      </c>
      <c r="G7" s="681">
        <v>0.1</v>
      </c>
      <c r="H7" s="681">
        <v>0.2</v>
      </c>
      <c r="I7" s="681">
        <v>0.5</v>
      </c>
      <c r="J7" s="681">
        <v>0.7</v>
      </c>
      <c r="K7" s="681">
        <v>0.75</v>
      </c>
      <c r="L7" s="681">
        <v>1</v>
      </c>
      <c r="M7" s="681">
        <v>1.5</v>
      </c>
      <c r="N7" s="464" t="s">
        <v>757</v>
      </c>
      <c r="O7" s="464" t="s">
        <v>1463</v>
      </c>
    </row>
    <row r="8" spans="2:17" ht="24" customHeight="1" x14ac:dyDescent="0.25">
      <c r="B8" s="646">
        <v>1</v>
      </c>
      <c r="C8" s="647" t="s">
        <v>804</v>
      </c>
      <c r="D8" s="457">
        <v>0</v>
      </c>
      <c r="E8" s="457">
        <v>0</v>
      </c>
      <c r="F8" s="457">
        <v>0</v>
      </c>
      <c r="G8" s="457">
        <v>0</v>
      </c>
      <c r="H8" s="457">
        <v>0</v>
      </c>
      <c r="I8" s="457">
        <v>0</v>
      </c>
      <c r="J8" s="457">
        <v>0</v>
      </c>
      <c r="K8" s="457">
        <v>0</v>
      </c>
      <c r="L8" s="457">
        <v>0</v>
      </c>
      <c r="M8" s="457">
        <v>0</v>
      </c>
      <c r="N8" s="457">
        <v>0</v>
      </c>
      <c r="O8" s="679">
        <f>SUM(D8:N8)</f>
        <v>0</v>
      </c>
    </row>
    <row r="9" spans="2:17" ht="20.100000000000001" customHeight="1" x14ac:dyDescent="0.25">
      <c r="B9" s="646">
        <v>2</v>
      </c>
      <c r="C9" s="545" t="s">
        <v>927</v>
      </c>
      <c r="D9" s="55">
        <v>0</v>
      </c>
      <c r="E9" s="55">
        <v>0</v>
      </c>
      <c r="F9" s="55">
        <v>0</v>
      </c>
      <c r="G9" s="55">
        <v>0</v>
      </c>
      <c r="H9" s="55">
        <v>0</v>
      </c>
      <c r="I9" s="55">
        <v>0</v>
      </c>
      <c r="J9" s="55">
        <v>0</v>
      </c>
      <c r="K9" s="55">
        <v>0</v>
      </c>
      <c r="L9" s="55">
        <v>0</v>
      </c>
      <c r="M9" s="55">
        <v>0</v>
      </c>
      <c r="N9" s="55">
        <v>0</v>
      </c>
      <c r="O9" s="3">
        <f t="shared" ref="O9:O17" si="0">SUM(D9:N9)</f>
        <v>0</v>
      </c>
    </row>
    <row r="10" spans="2:17" ht="20.100000000000001" customHeight="1" x14ac:dyDescent="0.25">
      <c r="B10" s="646">
        <v>3</v>
      </c>
      <c r="C10" s="545" t="s">
        <v>745</v>
      </c>
      <c r="D10" s="55">
        <v>0</v>
      </c>
      <c r="E10" s="55">
        <v>0</v>
      </c>
      <c r="F10" s="55">
        <v>0</v>
      </c>
      <c r="G10" s="55">
        <v>0</v>
      </c>
      <c r="H10" s="55">
        <v>0</v>
      </c>
      <c r="I10" s="55">
        <v>0</v>
      </c>
      <c r="J10" s="55">
        <v>0</v>
      </c>
      <c r="K10" s="55">
        <v>0</v>
      </c>
      <c r="L10" s="55">
        <v>0</v>
      </c>
      <c r="M10" s="55">
        <v>0</v>
      </c>
      <c r="N10" s="55">
        <v>0</v>
      </c>
      <c r="O10" s="3">
        <f t="shared" si="0"/>
        <v>0</v>
      </c>
    </row>
    <row r="11" spans="2:17" ht="20.100000000000001" customHeight="1" x14ac:dyDescent="0.25">
      <c r="B11" s="646">
        <v>4</v>
      </c>
      <c r="C11" s="545" t="s">
        <v>746</v>
      </c>
      <c r="D11" s="55">
        <v>0</v>
      </c>
      <c r="E11" s="55">
        <v>0</v>
      </c>
      <c r="F11" s="55">
        <v>0</v>
      </c>
      <c r="G11" s="55">
        <v>0</v>
      </c>
      <c r="H11" s="55">
        <v>0</v>
      </c>
      <c r="I11" s="55">
        <v>0</v>
      </c>
      <c r="J11" s="55">
        <v>0</v>
      </c>
      <c r="K11" s="55">
        <v>0</v>
      </c>
      <c r="L11" s="55">
        <v>0</v>
      </c>
      <c r="M11" s="55">
        <v>0</v>
      </c>
      <c r="N11" s="55">
        <v>0</v>
      </c>
      <c r="O11" s="3">
        <f t="shared" si="0"/>
        <v>0</v>
      </c>
    </row>
    <row r="12" spans="2:17" ht="20.100000000000001" customHeight="1" x14ac:dyDescent="0.25">
      <c r="B12" s="646">
        <v>5</v>
      </c>
      <c r="C12" s="545" t="s">
        <v>747</v>
      </c>
      <c r="D12" s="55">
        <v>0</v>
      </c>
      <c r="E12" s="55">
        <v>0</v>
      </c>
      <c r="F12" s="55">
        <v>0</v>
      </c>
      <c r="G12" s="55">
        <v>0</v>
      </c>
      <c r="H12" s="55">
        <v>0</v>
      </c>
      <c r="I12" s="55">
        <v>0</v>
      </c>
      <c r="J12" s="55">
        <v>0</v>
      </c>
      <c r="K12" s="55">
        <v>0</v>
      </c>
      <c r="L12" s="55">
        <v>0</v>
      </c>
      <c r="M12" s="55">
        <v>0</v>
      </c>
      <c r="N12" s="55">
        <v>0</v>
      </c>
      <c r="O12" s="3">
        <f t="shared" si="0"/>
        <v>0</v>
      </c>
    </row>
    <row r="13" spans="2:17" ht="20.100000000000001" customHeight="1" x14ac:dyDescent="0.25">
      <c r="B13" s="646">
        <v>6</v>
      </c>
      <c r="C13" s="545" t="s">
        <v>476</v>
      </c>
      <c r="D13" s="55">
        <v>0</v>
      </c>
      <c r="E13" s="55">
        <v>0</v>
      </c>
      <c r="F13" s="55">
        <v>0</v>
      </c>
      <c r="G13" s="55">
        <v>0</v>
      </c>
      <c r="H13" s="55">
        <f>10495442/1000</f>
        <v>10495.441999999999</v>
      </c>
      <c r="I13" s="55">
        <f>150876/1000</f>
        <v>150.876</v>
      </c>
      <c r="J13" s="55">
        <v>0</v>
      </c>
      <c r="K13" s="55">
        <v>0</v>
      </c>
      <c r="L13" s="55">
        <v>0</v>
      </c>
      <c r="M13" s="55">
        <v>0</v>
      </c>
      <c r="N13" s="55">
        <v>0</v>
      </c>
      <c r="O13" s="3">
        <f t="shared" si="0"/>
        <v>10646.317999999999</v>
      </c>
      <c r="Q13" s="25"/>
    </row>
    <row r="14" spans="2:17" ht="20.100000000000001" customHeight="1" x14ac:dyDescent="0.25">
      <c r="B14" s="646">
        <v>7</v>
      </c>
      <c r="C14" s="545" t="s">
        <v>482</v>
      </c>
      <c r="D14" s="55">
        <v>0</v>
      </c>
      <c r="E14" s="55">
        <v>0</v>
      </c>
      <c r="F14" s="55">
        <v>0</v>
      </c>
      <c r="G14" s="55">
        <v>0</v>
      </c>
      <c r="H14" s="55">
        <v>0</v>
      </c>
      <c r="I14" s="55">
        <v>0</v>
      </c>
      <c r="J14" s="55">
        <v>0</v>
      </c>
      <c r="K14" s="55">
        <v>0</v>
      </c>
      <c r="L14" s="55">
        <v>8.42</v>
      </c>
      <c r="M14" s="55">
        <v>0</v>
      </c>
      <c r="N14" s="55">
        <v>0</v>
      </c>
      <c r="O14" s="3">
        <f t="shared" si="0"/>
        <v>8.42</v>
      </c>
    </row>
    <row r="15" spans="2:17" ht="20.100000000000001" customHeight="1" x14ac:dyDescent="0.25">
      <c r="B15" s="646">
        <v>8</v>
      </c>
      <c r="C15" s="545" t="s">
        <v>748</v>
      </c>
      <c r="D15" s="55">
        <v>0</v>
      </c>
      <c r="E15" s="55">
        <v>0</v>
      </c>
      <c r="F15" s="55">
        <v>0</v>
      </c>
      <c r="G15" s="55">
        <v>0</v>
      </c>
      <c r="H15" s="55">
        <v>0</v>
      </c>
      <c r="I15" s="55">
        <v>0</v>
      </c>
      <c r="J15" s="55">
        <v>0</v>
      </c>
      <c r="K15" s="55">
        <f>81752/1000</f>
        <v>81.751999999999995</v>
      </c>
      <c r="L15" s="55">
        <v>0</v>
      </c>
      <c r="M15" s="55">
        <v>0</v>
      </c>
      <c r="N15" s="55">
        <v>0</v>
      </c>
      <c r="O15" s="3">
        <f t="shared" si="0"/>
        <v>81.751999999999995</v>
      </c>
    </row>
    <row r="16" spans="2:17" ht="20.100000000000001" customHeight="1" x14ac:dyDescent="0.25">
      <c r="B16" s="646">
        <v>9</v>
      </c>
      <c r="C16" s="545" t="s">
        <v>750</v>
      </c>
      <c r="D16" s="55">
        <v>0</v>
      </c>
      <c r="E16" s="55">
        <v>0</v>
      </c>
      <c r="F16" s="55">
        <v>0</v>
      </c>
      <c r="G16" s="55">
        <v>0</v>
      </c>
      <c r="H16" s="55">
        <v>0</v>
      </c>
      <c r="I16" s="55">
        <v>0</v>
      </c>
      <c r="J16" s="55">
        <v>0</v>
      </c>
      <c r="K16" s="55">
        <v>0</v>
      </c>
      <c r="L16" s="55">
        <v>0</v>
      </c>
      <c r="M16" s="55">
        <v>0</v>
      </c>
      <c r="N16" s="55">
        <v>0</v>
      </c>
      <c r="O16" s="3">
        <f t="shared" si="0"/>
        <v>0</v>
      </c>
    </row>
    <row r="17" spans="2:15" ht="20.100000000000001" customHeight="1" x14ac:dyDescent="0.25">
      <c r="B17" s="646">
        <v>10</v>
      </c>
      <c r="C17" s="545" t="s">
        <v>752</v>
      </c>
      <c r="D17" s="55">
        <v>0</v>
      </c>
      <c r="E17" s="55">
        <v>0</v>
      </c>
      <c r="F17" s="55">
        <v>0</v>
      </c>
      <c r="G17" s="55">
        <v>0</v>
      </c>
      <c r="H17" s="55">
        <v>0</v>
      </c>
      <c r="I17" s="55">
        <v>0</v>
      </c>
      <c r="J17" s="55">
        <v>0</v>
      </c>
      <c r="K17" s="55">
        <v>0</v>
      </c>
      <c r="L17" s="55">
        <v>0</v>
      </c>
      <c r="M17" s="55">
        <v>0</v>
      </c>
      <c r="N17" s="55">
        <v>0</v>
      </c>
      <c r="O17" s="3">
        <f t="shared" si="0"/>
        <v>0</v>
      </c>
    </row>
    <row r="18" spans="2:15" ht="20.100000000000001" customHeight="1" x14ac:dyDescent="0.25">
      <c r="B18" s="646">
        <v>11</v>
      </c>
      <c r="C18" s="5" t="s">
        <v>331</v>
      </c>
      <c r="D18" s="55">
        <f>SUM(D8:D17)</f>
        <v>0</v>
      </c>
      <c r="E18" s="55">
        <f t="shared" ref="E18:O18" si="1">SUM(E8:E17)</f>
        <v>0</v>
      </c>
      <c r="F18" s="55">
        <f t="shared" si="1"/>
        <v>0</v>
      </c>
      <c r="G18" s="55">
        <f t="shared" si="1"/>
        <v>0</v>
      </c>
      <c r="H18" s="55">
        <f t="shared" si="1"/>
        <v>10495.441999999999</v>
      </c>
      <c r="I18" s="55">
        <f t="shared" si="1"/>
        <v>150.876</v>
      </c>
      <c r="J18" s="55">
        <f t="shared" si="1"/>
        <v>0</v>
      </c>
      <c r="K18" s="55">
        <f t="shared" si="1"/>
        <v>81.751999999999995</v>
      </c>
      <c r="L18" s="55">
        <f t="shared" si="1"/>
        <v>8.42</v>
      </c>
      <c r="M18" s="55">
        <f t="shared" si="1"/>
        <v>0</v>
      </c>
      <c r="N18" s="55">
        <f t="shared" si="1"/>
        <v>0</v>
      </c>
      <c r="O18" s="55">
        <f t="shared" si="1"/>
        <v>10736.49</v>
      </c>
    </row>
    <row r="20" spans="2:15" x14ac:dyDescent="0.25">
      <c r="C20" s="25"/>
    </row>
  </sheetData>
  <mergeCells count="2">
    <mergeCell ref="C5:C7"/>
    <mergeCell ref="D5:N5"/>
  </mergeCells>
  <hyperlinks>
    <hyperlink ref="B2" location="Indhold!B36" display="Skema EU CCR3 — standardmetoden — modpartskreditrisikoeksponeringer efter eksponeringsklasse og risikovægte" xr:uid="{C7FD10E0-A32B-4A3A-A211-D648C1E760E1}"/>
  </hyperlinks>
  <pageMargins left="0.70866141732283472" right="0.70866141732283472" top="0.74803149606299213" bottom="0.74803149606299213" header="0.31496062992125984" footer="0.31496062992125984"/>
  <pageSetup paperSize="9" scale="70" orientation="landscape" r:id="rId1"/>
  <headerFooter>
    <oddHeader>&amp;CDA
Bilag XXV</oddHeader>
    <oddFooter>&amp;C&amp;P</oddFooter>
  </headerFooter>
  <ignoredErrors>
    <ignoredError sqref="D18:O18" formulaRange="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95600-0C58-4190-AA13-B27575A00BF6}">
  <sheetPr>
    <pageSetUpPr fitToPage="1"/>
  </sheetPr>
  <dimension ref="B2:Q22"/>
  <sheetViews>
    <sheetView showGridLines="0" zoomScaleNormal="100" workbookViewId="0">
      <selection activeCell="F1" sqref="F1"/>
    </sheetView>
  </sheetViews>
  <sheetFormatPr defaultColWidth="11.42578125" defaultRowHeight="15" x14ac:dyDescent="0.25"/>
  <cols>
    <col min="1" max="1" width="11.42578125" style="663"/>
    <col min="2" max="2" width="6.7109375" style="663" customWidth="1"/>
    <col min="3" max="3" width="41.7109375" style="663" customWidth="1"/>
    <col min="4" max="4" width="22.7109375" style="663" customWidth="1"/>
    <col min="5" max="5" width="15.28515625" style="663" customWidth="1"/>
    <col min="6" max="6" width="11.42578125" style="663"/>
    <col min="7" max="7" width="50.85546875" style="663" customWidth="1"/>
    <col min="8" max="8" width="7.42578125" style="663" customWidth="1"/>
    <col min="9" max="9" width="42" style="663" customWidth="1"/>
    <col min="10" max="16384" width="11.42578125" style="663"/>
  </cols>
  <sheetData>
    <row r="2" spans="2:17" s="195" customFormat="1" ht="18.75" x14ac:dyDescent="0.3">
      <c r="B2" s="866" t="s">
        <v>1042</v>
      </c>
      <c r="C2" s="416"/>
      <c r="D2" s="416"/>
      <c r="E2" s="663"/>
      <c r="F2" s="416"/>
      <c r="G2" s="416"/>
      <c r="H2" s="416"/>
      <c r="I2" s="416"/>
      <c r="J2" s="416"/>
      <c r="K2" s="416"/>
      <c r="L2" s="416"/>
      <c r="M2" s="416"/>
      <c r="N2" s="416"/>
      <c r="O2" s="416"/>
      <c r="P2" s="416"/>
      <c r="Q2" s="416"/>
    </row>
    <row r="3" spans="2:17" s="195" customFormat="1" ht="15" customHeight="1" x14ac:dyDescent="0.3">
      <c r="B3" s="416"/>
      <c r="C3" s="416"/>
      <c r="D3" s="416"/>
      <c r="E3" s="416"/>
      <c r="F3" s="416"/>
      <c r="G3" s="416"/>
      <c r="H3" s="416"/>
      <c r="I3" s="416"/>
      <c r="J3" s="416"/>
      <c r="K3" s="416"/>
      <c r="L3" s="416"/>
      <c r="M3" s="416"/>
      <c r="N3" s="416"/>
      <c r="O3" s="416"/>
      <c r="P3" s="416"/>
      <c r="Q3" s="416"/>
    </row>
    <row r="4" spans="2:17" s="195" customFormat="1" ht="15" customHeight="1" x14ac:dyDescent="0.3">
      <c r="B4" s="416"/>
      <c r="C4" s="416"/>
      <c r="D4" s="416"/>
      <c r="E4" s="416"/>
      <c r="F4" s="416"/>
      <c r="G4" s="416"/>
      <c r="H4" s="416"/>
      <c r="I4" s="416"/>
      <c r="J4" s="416"/>
      <c r="K4" s="416"/>
      <c r="L4" s="416"/>
      <c r="M4" s="416"/>
      <c r="N4" s="416"/>
      <c r="O4" s="416"/>
      <c r="P4" s="416"/>
      <c r="Q4" s="416"/>
    </row>
    <row r="5" spans="2:17" x14ac:dyDescent="0.25">
      <c r="B5" s="718"/>
      <c r="C5" s="719"/>
      <c r="D5" s="465" t="s">
        <v>103</v>
      </c>
    </row>
    <row r="6" spans="2:17" ht="38.25" customHeight="1" x14ac:dyDescent="0.25">
      <c r="B6" s="1107" t="s">
        <v>1423</v>
      </c>
      <c r="C6" s="1053"/>
      <c r="D6" s="464" t="s">
        <v>1043</v>
      </c>
    </row>
    <row r="7" spans="2:17" x14ac:dyDescent="0.25">
      <c r="B7" s="696"/>
      <c r="C7" s="697" t="s">
        <v>1044</v>
      </c>
      <c r="D7" s="698"/>
      <c r="H7" s="694"/>
    </row>
    <row r="8" spans="2:17" ht="15.75" customHeight="1" x14ac:dyDescent="0.25">
      <c r="B8" s="686">
        <v>1</v>
      </c>
      <c r="C8" s="35" t="s">
        <v>1045</v>
      </c>
      <c r="D8" s="699">
        <f>(46915754*12.5)/1000</f>
        <v>586446.92500000005</v>
      </c>
      <c r="H8" s="694"/>
    </row>
    <row r="9" spans="2:17" x14ac:dyDescent="0.25">
      <c r="B9" s="686">
        <v>2</v>
      </c>
      <c r="C9" s="35" t="s">
        <v>1046</v>
      </c>
      <c r="D9" s="699">
        <f>((3669154*12.5)+47477685)/1000</f>
        <v>93342.11</v>
      </c>
      <c r="H9" s="694"/>
    </row>
    <row r="10" spans="2:17" x14ac:dyDescent="0.25">
      <c r="B10" s="686">
        <v>3</v>
      </c>
      <c r="C10" s="35" t="s">
        <v>1047</v>
      </c>
      <c r="D10" s="699">
        <f>(3916864*12.5)/1000</f>
        <v>48960.800000000003</v>
      </c>
      <c r="H10" s="694"/>
    </row>
    <row r="11" spans="2:17" x14ac:dyDescent="0.25">
      <c r="B11" s="686">
        <v>4</v>
      </c>
      <c r="C11" s="35" t="s">
        <v>1048</v>
      </c>
      <c r="D11" s="699">
        <v>0</v>
      </c>
    </row>
    <row r="12" spans="2:17" x14ac:dyDescent="0.25">
      <c r="B12" s="686"/>
      <c r="C12" s="95" t="s">
        <v>1049</v>
      </c>
      <c r="D12" s="700"/>
    </row>
    <row r="13" spans="2:17" x14ac:dyDescent="0.25">
      <c r="B13" s="686">
        <v>5</v>
      </c>
      <c r="C13" s="35" t="s">
        <v>1050</v>
      </c>
      <c r="D13" s="699">
        <v>0</v>
      </c>
    </row>
    <row r="14" spans="2:17" x14ac:dyDescent="0.25">
      <c r="B14" s="686">
        <v>6</v>
      </c>
      <c r="C14" s="35" t="s">
        <v>1051</v>
      </c>
      <c r="D14" s="699">
        <v>0</v>
      </c>
    </row>
    <row r="15" spans="2:17" x14ac:dyDescent="0.25">
      <c r="B15" s="686">
        <v>7</v>
      </c>
      <c r="C15" s="35" t="s">
        <v>1052</v>
      </c>
      <c r="D15" s="699">
        <v>0</v>
      </c>
    </row>
    <row r="16" spans="2:17" x14ac:dyDescent="0.25">
      <c r="B16" s="686">
        <v>8</v>
      </c>
      <c r="C16" s="28" t="s">
        <v>1464</v>
      </c>
      <c r="D16" s="699">
        <v>0</v>
      </c>
    </row>
    <row r="17" spans="2:4" x14ac:dyDescent="0.25">
      <c r="B17" s="686">
        <v>9</v>
      </c>
      <c r="C17" s="95" t="s">
        <v>0</v>
      </c>
      <c r="D17" s="699">
        <f>SUM(D8:D16)</f>
        <v>728749.83500000008</v>
      </c>
    </row>
    <row r="19" spans="2:4" x14ac:dyDescent="0.25">
      <c r="D19" s="695"/>
    </row>
    <row r="21" spans="2:4" ht="50.25" customHeight="1" x14ac:dyDescent="0.25"/>
    <row r="22" spans="2:4" ht="50.25" customHeight="1" x14ac:dyDescent="0.25"/>
  </sheetData>
  <mergeCells count="1">
    <mergeCell ref="B6:C6"/>
  </mergeCells>
  <hyperlinks>
    <hyperlink ref="B2" location="Indhold!B38" display="Skema EU MR1 - Markedsrisiko i henhold til standardmetoden" xr:uid="{15640792-C4B4-4068-A965-5B8EF86EF330}"/>
  </hyperlinks>
  <pageMargins left="0.70866141732283472" right="0.70866141732283472" top="0.74803149606299213" bottom="0.74803149606299213" header="0.31496062992125984" footer="0.31496062992125984"/>
  <pageSetup paperSize="9" orientation="landscape" r:id="rId1"/>
  <headerFooter>
    <oddHeader>&amp;CDA
Bilag XXIX</oddHeader>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D5B18-DE1B-4E0C-A021-D358211D6E46}">
  <dimension ref="B1:Q12"/>
  <sheetViews>
    <sheetView showGridLines="0" zoomScaleNormal="100" workbookViewId="0">
      <selection activeCell="F1" sqref="F1"/>
    </sheetView>
  </sheetViews>
  <sheetFormatPr defaultColWidth="9.140625" defaultRowHeight="15" x14ac:dyDescent="0.25"/>
  <cols>
    <col min="1" max="1" width="9.140625" style="38"/>
    <col min="2" max="2" width="11.28515625" style="38" customWidth="1"/>
    <col min="3" max="3" width="43.7109375" style="38" customWidth="1"/>
    <col min="4" max="6" width="22.28515625" style="38" customWidth="1"/>
    <col min="7" max="9" width="22.28515625" style="38" hidden="1" customWidth="1"/>
    <col min="10" max="11" width="22.28515625" style="38" customWidth="1"/>
    <col min="12" max="12" width="9.140625" style="38"/>
    <col min="13" max="13" width="13.140625" style="709" customWidth="1"/>
    <col min="14" max="14" width="52.42578125" style="38" customWidth="1"/>
    <col min="15" max="16384" width="9.140625" style="38"/>
  </cols>
  <sheetData>
    <row r="1" spans="2:17" x14ac:dyDescent="0.25">
      <c r="B1" s="366"/>
      <c r="C1" s="710"/>
      <c r="D1" s="710"/>
      <c r="E1" s="710"/>
      <c r="F1" s="710"/>
      <c r="G1" s="710"/>
      <c r="H1" s="710"/>
      <c r="I1" s="710"/>
      <c r="J1" s="710"/>
      <c r="K1" s="710"/>
      <c r="L1" s="710"/>
    </row>
    <row r="2" spans="2:17" s="711" customFormat="1" ht="18.75" x14ac:dyDescent="0.3">
      <c r="B2" s="866" t="s">
        <v>1103</v>
      </c>
      <c r="C2" s="416"/>
      <c r="D2" s="416"/>
      <c r="E2" s="710"/>
      <c r="F2" s="416"/>
      <c r="G2" s="416"/>
      <c r="H2" s="416"/>
      <c r="I2" s="416"/>
      <c r="J2" s="416"/>
      <c r="K2" s="416"/>
      <c r="L2" s="416"/>
      <c r="M2" s="416"/>
      <c r="N2" s="416"/>
      <c r="O2" s="416"/>
      <c r="P2" s="416"/>
      <c r="Q2" s="416"/>
    </row>
    <row r="3" spans="2:17" s="711" customFormat="1" x14ac:dyDescent="0.25"/>
    <row r="4" spans="2:17" s="711" customFormat="1" x14ac:dyDescent="0.25">
      <c r="B4" s="38"/>
    </row>
    <row r="5" spans="2:17" ht="13.5" customHeight="1" x14ac:dyDescent="0.25">
      <c r="B5" s="1116" t="s">
        <v>1423</v>
      </c>
      <c r="C5" s="1113" t="s">
        <v>1104</v>
      </c>
      <c r="D5" s="701" t="s">
        <v>103</v>
      </c>
      <c r="E5" s="701" t="s">
        <v>102</v>
      </c>
      <c r="F5" s="701" t="s">
        <v>97</v>
      </c>
      <c r="G5" s="701" t="s">
        <v>587</v>
      </c>
      <c r="H5" s="701" t="s">
        <v>589</v>
      </c>
      <c r="I5" s="701"/>
      <c r="J5" s="701" t="s">
        <v>96</v>
      </c>
      <c r="K5" s="702" t="s">
        <v>95</v>
      </c>
    </row>
    <row r="6" spans="2:17" ht="15" customHeight="1" x14ac:dyDescent="0.25">
      <c r="B6" s="1117"/>
      <c r="C6" s="1114"/>
      <c r="D6" s="1108" t="s">
        <v>1105</v>
      </c>
      <c r="E6" s="1109"/>
      <c r="F6" s="1110"/>
      <c r="G6" s="703" t="s">
        <v>1106</v>
      </c>
      <c r="H6" s="704" t="s">
        <v>1107</v>
      </c>
      <c r="I6" s="705"/>
      <c r="J6" s="1111" t="s">
        <v>332</v>
      </c>
      <c r="K6" s="1111" t="s">
        <v>100</v>
      </c>
    </row>
    <row r="7" spans="2:17" x14ac:dyDescent="0.25">
      <c r="B7" s="1118"/>
      <c r="C7" s="1115"/>
      <c r="D7" s="701" t="s">
        <v>1108</v>
      </c>
      <c r="E7" s="701" t="s">
        <v>1109</v>
      </c>
      <c r="F7" s="701" t="s">
        <v>1110</v>
      </c>
      <c r="G7" s="706" t="s">
        <v>1111</v>
      </c>
      <c r="H7" s="707"/>
      <c r="I7" s="708"/>
      <c r="J7" s="1112"/>
      <c r="K7" s="1112"/>
    </row>
    <row r="8" spans="2:17" ht="38.25" customHeight="1" x14ac:dyDescent="0.25">
      <c r="B8" s="455">
        <v>1</v>
      </c>
      <c r="C8" s="367" t="s">
        <v>1112</v>
      </c>
      <c r="D8" s="495">
        <f>264694086/1000</f>
        <v>264694.08600000001</v>
      </c>
      <c r="E8" s="495">
        <f>477369118/1000</f>
        <v>477369.11800000002</v>
      </c>
      <c r="F8" s="495">
        <f>498679382/1000</f>
        <v>498679.38199999998</v>
      </c>
      <c r="G8" s="368"/>
      <c r="H8" s="368"/>
      <c r="I8" s="368"/>
      <c r="J8" s="495">
        <f>62037129/1000</f>
        <v>62037.129000000001</v>
      </c>
      <c r="K8" s="495">
        <f>775464116/1000</f>
        <v>775464.11600000004</v>
      </c>
    </row>
    <row r="9" spans="2:17" ht="30" x14ac:dyDescent="0.25">
      <c r="B9" s="455">
        <v>2</v>
      </c>
      <c r="C9" s="369" t="s">
        <v>1113</v>
      </c>
      <c r="D9" s="368">
        <v>0</v>
      </c>
      <c r="E9" s="368">
        <v>0</v>
      </c>
      <c r="F9" s="368">
        <v>0</v>
      </c>
      <c r="G9" s="368"/>
      <c r="H9" s="368"/>
      <c r="I9" s="368"/>
      <c r="J9" s="368">
        <v>0</v>
      </c>
      <c r="K9" s="368">
        <v>0</v>
      </c>
    </row>
    <row r="10" spans="2:17" ht="38.25" customHeight="1" x14ac:dyDescent="0.25">
      <c r="B10" s="455">
        <v>3</v>
      </c>
      <c r="C10" s="712" t="s">
        <v>1114</v>
      </c>
      <c r="D10" s="368">
        <v>0</v>
      </c>
      <c r="E10" s="368">
        <v>0</v>
      </c>
      <c r="F10" s="368">
        <v>0</v>
      </c>
      <c r="G10" s="368"/>
      <c r="H10" s="368"/>
      <c r="I10" s="368"/>
      <c r="J10" s="370"/>
      <c r="K10" s="371"/>
    </row>
    <row r="11" spans="2:17" ht="38.25" customHeight="1" x14ac:dyDescent="0.25">
      <c r="B11" s="455">
        <v>4</v>
      </c>
      <c r="C11" s="712" t="s">
        <v>1115</v>
      </c>
      <c r="D11" s="368">
        <v>0</v>
      </c>
      <c r="E11" s="368">
        <v>0</v>
      </c>
      <c r="F11" s="368">
        <v>0</v>
      </c>
      <c r="G11" s="713"/>
      <c r="H11" s="499"/>
      <c r="I11" s="499"/>
      <c r="J11" s="370"/>
      <c r="K11" s="371"/>
    </row>
    <row r="12" spans="2:17" ht="38.25" customHeight="1" x14ac:dyDescent="0.25">
      <c r="B12" s="372">
        <v>5</v>
      </c>
      <c r="C12" s="367" t="s">
        <v>1116</v>
      </c>
      <c r="D12" s="368">
        <v>0</v>
      </c>
      <c r="E12" s="368">
        <v>0</v>
      </c>
      <c r="F12" s="368">
        <v>0</v>
      </c>
      <c r="G12" s="499"/>
      <c r="H12" s="499"/>
      <c r="I12" s="499"/>
      <c r="J12" s="368">
        <v>0</v>
      </c>
      <c r="K12" s="368">
        <v>0</v>
      </c>
    </row>
  </sheetData>
  <mergeCells count="5">
    <mergeCell ref="D6:F6"/>
    <mergeCell ref="J6:J7"/>
    <mergeCell ref="K6:K7"/>
    <mergeCell ref="C5:C7"/>
    <mergeCell ref="B5:B7"/>
  </mergeCells>
  <hyperlinks>
    <hyperlink ref="B2" location="Indhold!B40" display=" Skema EU OR1 - Kapitalgrundlagskrav for operationel risiko og risikovægtede eksponeringer" xr:uid="{52888D4C-8B95-4C55-996F-D3D0C8E008D3}"/>
  </hyperlinks>
  <pageMargins left="0.70866141732283472" right="0.70866141732283472" top="0.74803149606299213" bottom="0.74803149606299213" header="0.31496062992125984" footer="0.31496062992125984"/>
  <pageSetup paperSize="9" scale="75" orientation="landscape" verticalDpi="1200" r:id="rId1"/>
  <headerFooter>
    <oddHeader>&amp;CDA
Bilag XXXI</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204DA-9310-4309-9060-407904CFC219}">
  <dimension ref="B2:K93"/>
  <sheetViews>
    <sheetView showGridLines="0" topLeftCell="A31" workbookViewId="0">
      <selection activeCell="B48" sqref="B48"/>
    </sheetView>
  </sheetViews>
  <sheetFormatPr defaultRowHeight="15" x14ac:dyDescent="0.25"/>
  <cols>
    <col min="2" max="2" width="9.5703125" bestFit="1" customWidth="1"/>
    <col min="3" max="3" width="106.28515625" customWidth="1"/>
  </cols>
  <sheetData>
    <row r="2" spans="2:9" ht="18.75" x14ac:dyDescent="0.3">
      <c r="B2" s="440"/>
      <c r="C2" s="769" t="s">
        <v>1244</v>
      </c>
      <c r="D2" s="770" t="s">
        <v>1243</v>
      </c>
      <c r="E2" s="440"/>
    </row>
    <row r="3" spans="2:9" x14ac:dyDescent="0.25">
      <c r="B3" s="290"/>
      <c r="C3" s="771" t="s">
        <v>1488</v>
      </c>
      <c r="D3" s="771"/>
      <c r="E3" s="772"/>
    </row>
    <row r="4" spans="2:9" x14ac:dyDescent="0.25">
      <c r="B4" s="773" t="s">
        <v>1283</v>
      </c>
      <c r="C4" s="774" t="s">
        <v>1351</v>
      </c>
      <c r="D4" s="775">
        <v>1</v>
      </c>
      <c r="E4" s="776"/>
    </row>
    <row r="5" spans="2:9" x14ac:dyDescent="0.25">
      <c r="B5" s="289" t="s">
        <v>1284</v>
      </c>
      <c r="C5" s="777" t="s">
        <v>1352</v>
      </c>
      <c r="D5" s="778">
        <v>2</v>
      </c>
      <c r="E5" s="779"/>
    </row>
    <row r="6" spans="2:9" x14ac:dyDescent="0.25">
      <c r="B6" s="290"/>
      <c r="C6" s="771" t="s">
        <v>1437</v>
      </c>
      <c r="D6" s="771"/>
      <c r="E6" s="772"/>
    </row>
    <row r="7" spans="2:9" ht="30" x14ac:dyDescent="0.25">
      <c r="B7" s="819" t="s">
        <v>1287</v>
      </c>
      <c r="C7" s="780" t="s">
        <v>1355</v>
      </c>
      <c r="D7" s="775">
        <v>3</v>
      </c>
      <c r="E7" s="781"/>
    </row>
    <row r="8" spans="2:9" x14ac:dyDescent="0.25">
      <c r="B8" s="782" t="s">
        <v>1288</v>
      </c>
      <c r="C8" s="783" t="s">
        <v>1356</v>
      </c>
      <c r="D8" s="784">
        <v>4</v>
      </c>
      <c r="E8" s="785"/>
    </row>
    <row r="9" spans="2:9" x14ac:dyDescent="0.25">
      <c r="B9" s="289" t="s">
        <v>1289</v>
      </c>
      <c r="C9" s="787" t="s">
        <v>1357</v>
      </c>
      <c r="D9" s="778">
        <v>5</v>
      </c>
      <c r="E9" s="779"/>
      <c r="I9" s="414"/>
    </row>
    <row r="10" spans="2:9" x14ac:dyDescent="0.25">
      <c r="B10" s="290"/>
      <c r="C10" s="771" t="s">
        <v>538</v>
      </c>
      <c r="D10" s="788"/>
      <c r="E10" s="772"/>
    </row>
    <row r="11" spans="2:9" x14ac:dyDescent="0.25">
      <c r="B11" s="773" t="s">
        <v>1291</v>
      </c>
      <c r="C11" s="789" t="s">
        <v>1359</v>
      </c>
      <c r="D11" s="775">
        <v>6</v>
      </c>
      <c r="E11" s="776"/>
    </row>
    <row r="12" spans="2:9" x14ac:dyDescent="0.25">
      <c r="B12" s="289" t="s">
        <v>1292</v>
      </c>
      <c r="C12" s="787" t="s">
        <v>1360</v>
      </c>
      <c r="D12" s="778">
        <v>7</v>
      </c>
      <c r="E12" s="779"/>
    </row>
    <row r="13" spans="2:9" x14ac:dyDescent="0.25">
      <c r="B13" s="290"/>
      <c r="C13" s="790" t="s">
        <v>63</v>
      </c>
      <c r="D13" s="788"/>
      <c r="E13" s="772"/>
    </row>
    <row r="14" spans="2:9" x14ac:dyDescent="0.25">
      <c r="B14" s="773" t="s">
        <v>1295</v>
      </c>
      <c r="C14" s="780" t="s">
        <v>1363</v>
      </c>
      <c r="D14" s="775">
        <v>8</v>
      </c>
      <c r="E14" s="776"/>
    </row>
    <row r="15" spans="2:9" x14ac:dyDescent="0.25">
      <c r="B15" s="782" t="s">
        <v>1296</v>
      </c>
      <c r="C15" s="786" t="s">
        <v>1364</v>
      </c>
      <c r="D15" s="784">
        <v>9</v>
      </c>
      <c r="E15" s="785"/>
    </row>
    <row r="16" spans="2:9" x14ac:dyDescent="0.25">
      <c r="B16" s="289" t="s">
        <v>1297</v>
      </c>
      <c r="C16" s="791" t="s">
        <v>1365</v>
      </c>
      <c r="D16" s="778">
        <v>10</v>
      </c>
      <c r="E16" s="779"/>
    </row>
    <row r="17" spans="2:9" x14ac:dyDescent="0.25">
      <c r="B17" s="290"/>
      <c r="C17" s="771" t="s">
        <v>1438</v>
      </c>
      <c r="D17" s="788"/>
      <c r="E17" s="772"/>
    </row>
    <row r="18" spans="2:9" x14ac:dyDescent="0.25">
      <c r="B18" s="773" t="s">
        <v>1298</v>
      </c>
      <c r="C18" s="789" t="s">
        <v>1366</v>
      </c>
      <c r="D18" s="775">
        <v>11</v>
      </c>
      <c r="E18" s="776"/>
      <c r="I18" s="414"/>
    </row>
    <row r="19" spans="2:9" x14ac:dyDescent="0.25">
      <c r="B19" s="289" t="s">
        <v>1299</v>
      </c>
      <c r="C19" s="787" t="s">
        <v>1367</v>
      </c>
      <c r="D19" s="778">
        <v>12</v>
      </c>
      <c r="E19" s="779"/>
    </row>
    <row r="20" spans="2:9" x14ac:dyDescent="0.25">
      <c r="B20" s="289"/>
      <c r="C20" s="771" t="s">
        <v>1496</v>
      </c>
      <c r="D20" s="778"/>
      <c r="E20" s="779"/>
    </row>
    <row r="21" spans="2:9" x14ac:dyDescent="0.25">
      <c r="B21" s="782" t="s">
        <v>1294</v>
      </c>
      <c r="C21" s="786" t="s">
        <v>1362</v>
      </c>
      <c r="D21" s="784">
        <v>13</v>
      </c>
      <c r="E21" s="785"/>
    </row>
    <row r="22" spans="2:9" x14ac:dyDescent="0.25">
      <c r="B22" s="290"/>
      <c r="C22" s="771" t="s">
        <v>1439</v>
      </c>
      <c r="D22" s="788"/>
      <c r="E22" s="772"/>
    </row>
    <row r="23" spans="2:9" x14ac:dyDescent="0.25">
      <c r="B23" s="773" t="s">
        <v>1300</v>
      </c>
      <c r="C23" s="789" t="s">
        <v>1368</v>
      </c>
      <c r="D23" s="775">
        <v>14</v>
      </c>
      <c r="E23" s="776"/>
    </row>
    <row r="24" spans="2:9" x14ac:dyDescent="0.25">
      <c r="B24" s="782" t="s">
        <v>1301</v>
      </c>
      <c r="C24" s="786" t="s">
        <v>1369</v>
      </c>
      <c r="D24" s="784">
        <v>15</v>
      </c>
      <c r="E24" s="785"/>
    </row>
    <row r="25" spans="2:9" x14ac:dyDescent="0.25">
      <c r="B25" s="782" t="s">
        <v>1302</v>
      </c>
      <c r="C25" s="786" t="s">
        <v>1370</v>
      </c>
      <c r="D25" s="784">
        <v>16</v>
      </c>
      <c r="E25" s="785"/>
    </row>
    <row r="26" spans="2:9" x14ac:dyDescent="0.25">
      <c r="B26" s="782" t="s">
        <v>1304</v>
      </c>
      <c r="C26" s="786" t="s">
        <v>1372</v>
      </c>
      <c r="D26" s="784">
        <v>17</v>
      </c>
      <c r="E26" s="785"/>
    </row>
    <row r="27" spans="2:9" x14ac:dyDescent="0.25">
      <c r="B27" s="782" t="s">
        <v>1306</v>
      </c>
      <c r="C27" s="786" t="s">
        <v>1374</v>
      </c>
      <c r="D27" s="784">
        <v>18</v>
      </c>
      <c r="E27" s="785"/>
    </row>
    <row r="28" spans="2:9" x14ac:dyDescent="0.25">
      <c r="B28" s="782" t="s">
        <v>1308</v>
      </c>
      <c r="C28" s="792" t="s">
        <v>1376</v>
      </c>
      <c r="D28" s="784">
        <v>19</v>
      </c>
      <c r="E28" s="785"/>
    </row>
    <row r="29" spans="2:9" x14ac:dyDescent="0.25">
      <c r="B29" s="290"/>
      <c r="C29" s="771" t="s">
        <v>1440</v>
      </c>
      <c r="D29" s="771"/>
      <c r="E29" s="772"/>
    </row>
    <row r="30" spans="2:9" x14ac:dyDescent="0.25">
      <c r="B30" s="290" t="s">
        <v>1312</v>
      </c>
      <c r="C30" s="793" t="s">
        <v>1380</v>
      </c>
      <c r="D30" s="788">
        <v>20</v>
      </c>
      <c r="E30" s="772"/>
    </row>
    <row r="31" spans="2:9" x14ac:dyDescent="0.25">
      <c r="B31" s="290" t="s">
        <v>1313</v>
      </c>
      <c r="C31" s="771" t="s">
        <v>1441</v>
      </c>
      <c r="D31" s="771"/>
      <c r="E31" s="772"/>
    </row>
    <row r="32" spans="2:9" x14ac:dyDescent="0.25">
      <c r="B32" s="773" t="s">
        <v>1314</v>
      </c>
      <c r="C32" s="780" t="s">
        <v>1381</v>
      </c>
      <c r="D32" s="775">
        <v>21</v>
      </c>
      <c r="E32" s="776"/>
    </row>
    <row r="33" spans="2:9" x14ac:dyDescent="0.25">
      <c r="B33" s="289" t="s">
        <v>1315</v>
      </c>
      <c r="C33" s="37" t="s">
        <v>1382</v>
      </c>
      <c r="D33" s="778">
        <v>22</v>
      </c>
      <c r="E33" s="779"/>
    </row>
    <row r="34" spans="2:9" x14ac:dyDescent="0.25">
      <c r="B34" s="290" t="s">
        <v>1313</v>
      </c>
      <c r="C34" s="771" t="s">
        <v>1442</v>
      </c>
      <c r="D34" s="771"/>
      <c r="E34" s="772"/>
    </row>
    <row r="35" spans="2:9" x14ac:dyDescent="0.25">
      <c r="B35" s="782" t="s">
        <v>1325</v>
      </c>
      <c r="C35" s="792" t="s">
        <v>1392</v>
      </c>
      <c r="D35" s="784">
        <v>23</v>
      </c>
      <c r="E35" s="785"/>
    </row>
    <row r="36" spans="2:9" x14ac:dyDescent="0.25">
      <c r="B36" s="782" t="s">
        <v>1326</v>
      </c>
      <c r="C36" s="783" t="s">
        <v>1393</v>
      </c>
      <c r="D36" s="784">
        <v>24</v>
      </c>
      <c r="E36" s="785"/>
    </row>
    <row r="37" spans="2:9" x14ac:dyDescent="0.25">
      <c r="B37" s="796" t="s">
        <v>1313</v>
      </c>
      <c r="C37" s="797" t="s">
        <v>1443</v>
      </c>
      <c r="D37" s="797"/>
      <c r="E37" s="798"/>
    </row>
    <row r="38" spans="2:9" x14ac:dyDescent="0.25">
      <c r="B38" s="290" t="s">
        <v>1337</v>
      </c>
      <c r="C38" s="795" t="s">
        <v>1404</v>
      </c>
      <c r="D38" s="788">
        <v>25</v>
      </c>
      <c r="E38" s="772"/>
      <c r="I38" s="414"/>
    </row>
    <row r="39" spans="2:9" x14ac:dyDescent="0.25">
      <c r="B39" s="796" t="s">
        <v>1313</v>
      </c>
      <c r="C39" s="797" t="s">
        <v>193</v>
      </c>
      <c r="D39" s="797"/>
      <c r="E39" s="798"/>
    </row>
    <row r="40" spans="2:9" x14ac:dyDescent="0.25">
      <c r="B40" s="290" t="s">
        <v>1342</v>
      </c>
      <c r="C40" s="795" t="s">
        <v>1409</v>
      </c>
      <c r="D40" s="788">
        <v>26</v>
      </c>
      <c r="E40" s="772"/>
    </row>
    <row r="41" spans="2:9" x14ac:dyDescent="0.25">
      <c r="B41" s="290" t="s">
        <v>1313</v>
      </c>
      <c r="C41" s="771" t="s">
        <v>1444</v>
      </c>
      <c r="D41" s="788"/>
      <c r="E41" s="772"/>
    </row>
    <row r="42" spans="2:9" x14ac:dyDescent="0.25">
      <c r="B42" s="773" t="s">
        <v>1343</v>
      </c>
      <c r="C42" s="794" t="s">
        <v>1410</v>
      </c>
      <c r="D42" s="775">
        <v>27</v>
      </c>
      <c r="E42" s="776"/>
    </row>
    <row r="43" spans="2:9" ht="30" x14ac:dyDescent="0.25">
      <c r="B43" s="289" t="s">
        <v>1347</v>
      </c>
      <c r="C43" s="791" t="s">
        <v>1414</v>
      </c>
      <c r="D43" s="778">
        <v>28</v>
      </c>
      <c r="E43" s="779"/>
    </row>
    <row r="44" spans="2:9" x14ac:dyDescent="0.25">
      <c r="B44" s="290" t="s">
        <v>1313</v>
      </c>
      <c r="C44" s="771" t="s">
        <v>1415</v>
      </c>
      <c r="D44" s="771"/>
      <c r="E44" s="772"/>
    </row>
    <row r="45" spans="2:9" x14ac:dyDescent="0.25">
      <c r="B45" s="290" t="s">
        <v>1348</v>
      </c>
      <c r="C45" s="795" t="s">
        <v>1415</v>
      </c>
      <c r="D45" s="788">
        <v>29</v>
      </c>
      <c r="E45" s="772"/>
    </row>
    <row r="46" spans="2:9" x14ac:dyDescent="0.25">
      <c r="B46" s="290" t="s">
        <v>1313</v>
      </c>
      <c r="C46" s="771" t="s">
        <v>1575</v>
      </c>
      <c r="D46" s="771"/>
      <c r="E46" s="772"/>
    </row>
    <row r="47" spans="2:9" x14ac:dyDescent="0.25">
      <c r="B47" s="773" t="s">
        <v>1576</v>
      </c>
      <c r="C47" s="789" t="s">
        <v>1579</v>
      </c>
      <c r="D47" s="775">
        <v>30</v>
      </c>
      <c r="E47" s="776"/>
    </row>
    <row r="48" spans="2:9" x14ac:dyDescent="0.25">
      <c r="B48" s="782" t="s">
        <v>1577</v>
      </c>
      <c r="C48" s="786" t="s">
        <v>1580</v>
      </c>
      <c r="D48" s="784">
        <v>31</v>
      </c>
      <c r="E48" s="785"/>
    </row>
    <row r="49" spans="2:11" x14ac:dyDescent="0.25">
      <c r="B49" s="289" t="s">
        <v>1578</v>
      </c>
      <c r="C49" s="787" t="s">
        <v>1581</v>
      </c>
      <c r="D49" s="778">
        <v>32</v>
      </c>
      <c r="E49" s="779"/>
    </row>
    <row r="50" spans="2:11" x14ac:dyDescent="0.25">
      <c r="B50" s="792"/>
      <c r="C50" s="792"/>
      <c r="D50" s="784"/>
      <c r="E50" s="792"/>
    </row>
    <row r="51" spans="2:11" x14ac:dyDescent="0.25">
      <c r="B51" s="792"/>
      <c r="C51" s="792"/>
      <c r="D51" s="784"/>
      <c r="E51" s="792"/>
    </row>
    <row r="52" spans="2:11" x14ac:dyDescent="0.25">
      <c r="B52" s="792"/>
      <c r="C52" s="792"/>
      <c r="D52" s="784"/>
      <c r="E52" s="792"/>
    </row>
    <row r="53" spans="2:11" x14ac:dyDescent="0.25">
      <c r="B53" s="799" t="s">
        <v>1493</v>
      </c>
      <c r="C53" s="440"/>
      <c r="D53" s="440"/>
      <c r="E53" s="440"/>
    </row>
    <row r="54" spans="2:11" x14ac:dyDescent="0.25">
      <c r="B54" s="782" t="s">
        <v>1310</v>
      </c>
      <c r="C54" s="792" t="s">
        <v>1378</v>
      </c>
      <c r="D54" s="784">
        <v>33</v>
      </c>
      <c r="E54" s="785"/>
    </row>
    <row r="55" spans="2:11" x14ac:dyDescent="0.25">
      <c r="B55" s="782" t="s">
        <v>1324</v>
      </c>
      <c r="C55" s="792" t="s">
        <v>1391</v>
      </c>
      <c r="D55" s="784">
        <v>34</v>
      </c>
      <c r="E55" s="785"/>
      <c r="H55" s="414"/>
      <c r="K55" s="414"/>
    </row>
    <row r="56" spans="2:11" x14ac:dyDescent="0.25">
      <c r="B56" s="782" t="s">
        <v>1328</v>
      </c>
      <c r="C56" s="792" t="s">
        <v>1395</v>
      </c>
      <c r="D56" s="784">
        <v>35</v>
      </c>
      <c r="E56" s="785"/>
    </row>
    <row r="57" spans="2:11" x14ac:dyDescent="0.25">
      <c r="B57" s="782" t="s">
        <v>1329</v>
      </c>
      <c r="C57" s="792" t="s">
        <v>1396</v>
      </c>
      <c r="D57" s="784">
        <v>36</v>
      </c>
      <c r="E57" s="785"/>
    </row>
    <row r="58" spans="2:11" x14ac:dyDescent="0.25">
      <c r="B58" s="782" t="s">
        <v>1331</v>
      </c>
      <c r="C58" s="792" t="s">
        <v>1398</v>
      </c>
      <c r="D58" s="784">
        <v>37</v>
      </c>
      <c r="E58" s="785"/>
    </row>
    <row r="59" spans="2:11" x14ac:dyDescent="0.25">
      <c r="B59" s="782" t="s">
        <v>1332</v>
      </c>
      <c r="C59" s="792" t="s">
        <v>1399</v>
      </c>
      <c r="D59" s="784">
        <v>38</v>
      </c>
      <c r="E59" s="785"/>
    </row>
    <row r="60" spans="2:11" x14ac:dyDescent="0.25">
      <c r="B60" s="782" t="s">
        <v>1333</v>
      </c>
      <c r="C60" s="792" t="s">
        <v>1400</v>
      </c>
      <c r="D60" s="784">
        <v>39</v>
      </c>
      <c r="E60" s="785"/>
    </row>
    <row r="61" spans="2:11" ht="30" x14ac:dyDescent="0.25">
      <c r="B61" s="782" t="s">
        <v>1334</v>
      </c>
      <c r="C61" s="783" t="s">
        <v>1401</v>
      </c>
      <c r="D61" s="784">
        <v>40</v>
      </c>
      <c r="E61" s="785"/>
    </row>
    <row r="62" spans="2:11" ht="30" x14ac:dyDescent="0.25">
      <c r="B62" s="782" t="s">
        <v>1335</v>
      </c>
      <c r="C62" s="783" t="s">
        <v>1402</v>
      </c>
      <c r="D62" s="784">
        <v>41</v>
      </c>
      <c r="E62" s="785"/>
    </row>
    <row r="63" spans="2:11" x14ac:dyDescent="0.25">
      <c r="B63" s="782" t="s">
        <v>1336</v>
      </c>
      <c r="C63" s="783" t="s">
        <v>1403</v>
      </c>
      <c r="D63" s="784">
        <v>42</v>
      </c>
      <c r="E63" s="785"/>
    </row>
    <row r="64" spans="2:11" ht="30" customHeight="1" x14ac:dyDescent="0.25">
      <c r="B64" s="824" t="s">
        <v>1344</v>
      </c>
      <c r="C64" s="783" t="s">
        <v>1411</v>
      </c>
      <c r="D64" s="784">
        <v>43</v>
      </c>
      <c r="E64" s="785"/>
    </row>
    <row r="65" spans="2:5" x14ac:dyDescent="0.25">
      <c r="B65" s="782" t="s">
        <v>1345</v>
      </c>
      <c r="C65" s="792" t="s">
        <v>1412</v>
      </c>
      <c r="D65" s="784">
        <v>44</v>
      </c>
      <c r="E65" s="785"/>
    </row>
    <row r="66" spans="2:5" x14ac:dyDescent="0.25">
      <c r="B66" s="782" t="s">
        <v>1346</v>
      </c>
      <c r="C66" s="792" t="s">
        <v>1413</v>
      </c>
      <c r="D66" s="784">
        <v>45</v>
      </c>
      <c r="E66" s="785"/>
    </row>
    <row r="67" spans="2:5" x14ac:dyDescent="0.25">
      <c r="B67" s="782" t="s">
        <v>1349</v>
      </c>
      <c r="C67" s="792" t="s">
        <v>1416</v>
      </c>
      <c r="D67" s="784">
        <v>46</v>
      </c>
      <c r="E67" s="785"/>
    </row>
    <row r="68" spans="2:5" x14ac:dyDescent="0.25">
      <c r="B68" s="289" t="s">
        <v>1350</v>
      </c>
      <c r="C68" s="37" t="s">
        <v>1417</v>
      </c>
      <c r="D68" s="778">
        <v>47</v>
      </c>
      <c r="E68" s="779"/>
    </row>
    <row r="70" spans="2:5" x14ac:dyDescent="0.25">
      <c r="B70" s="820" t="s">
        <v>1424</v>
      </c>
      <c r="C70" s="821"/>
      <c r="D70" s="821"/>
      <c r="E70" s="822"/>
    </row>
    <row r="71" spans="2:5" x14ac:dyDescent="0.25">
      <c r="B71" s="782" t="s">
        <v>1285</v>
      </c>
      <c r="C71" s="823" t="s">
        <v>1353</v>
      </c>
      <c r="D71" s="784" t="s">
        <v>109</v>
      </c>
      <c r="E71" s="785"/>
    </row>
    <row r="72" spans="2:5" x14ac:dyDescent="0.25">
      <c r="B72" s="782" t="s">
        <v>1286</v>
      </c>
      <c r="C72" s="823" t="s">
        <v>1354</v>
      </c>
      <c r="D72" s="784" t="s">
        <v>109</v>
      </c>
      <c r="E72" s="785"/>
    </row>
    <row r="73" spans="2:5" x14ac:dyDescent="0.25">
      <c r="B73" s="782" t="s">
        <v>1290</v>
      </c>
      <c r="C73" s="786" t="s">
        <v>1358</v>
      </c>
      <c r="D73" s="784" t="s">
        <v>109</v>
      </c>
      <c r="E73" s="785"/>
    </row>
    <row r="74" spans="2:5" ht="19.5" customHeight="1" x14ac:dyDescent="0.25">
      <c r="B74" s="782" t="s">
        <v>1293</v>
      </c>
      <c r="C74" s="783" t="s">
        <v>1361</v>
      </c>
      <c r="D74" s="784" t="s">
        <v>109</v>
      </c>
      <c r="E74" s="785"/>
    </row>
    <row r="75" spans="2:5" ht="14.25" customHeight="1" x14ac:dyDescent="0.25">
      <c r="B75" s="782" t="s">
        <v>1303</v>
      </c>
      <c r="C75" s="783" t="s">
        <v>1371</v>
      </c>
      <c r="D75" s="784" t="s">
        <v>109</v>
      </c>
      <c r="E75" s="785"/>
    </row>
    <row r="76" spans="2:5" x14ac:dyDescent="0.25">
      <c r="B76" s="782" t="s">
        <v>1305</v>
      </c>
      <c r="C76" s="786" t="s">
        <v>1373</v>
      </c>
      <c r="D76" s="784" t="s">
        <v>109</v>
      </c>
      <c r="E76" s="785"/>
    </row>
    <row r="77" spans="2:5" x14ac:dyDescent="0.25">
      <c r="B77" s="782" t="s">
        <v>1307</v>
      </c>
      <c r="C77" s="786" t="s">
        <v>1375</v>
      </c>
      <c r="D77" s="784" t="s">
        <v>109</v>
      </c>
      <c r="E77" s="785"/>
    </row>
    <row r="78" spans="2:5" x14ac:dyDescent="0.25">
      <c r="B78" s="782" t="s">
        <v>1309</v>
      </c>
      <c r="C78" s="792" t="s">
        <v>1377</v>
      </c>
      <c r="D78" s="784" t="s">
        <v>109</v>
      </c>
      <c r="E78" s="785"/>
    </row>
    <row r="79" spans="2:5" x14ac:dyDescent="0.25">
      <c r="B79" s="782" t="s">
        <v>1311</v>
      </c>
      <c r="C79" s="783" t="s">
        <v>1379</v>
      </c>
      <c r="D79" s="784" t="s">
        <v>109</v>
      </c>
      <c r="E79" s="785"/>
    </row>
    <row r="80" spans="2:5" x14ac:dyDescent="0.25">
      <c r="B80" s="782" t="s">
        <v>1316</v>
      </c>
      <c r="C80" s="792" t="s">
        <v>1383</v>
      </c>
      <c r="D80" s="784" t="s">
        <v>109</v>
      </c>
      <c r="E80" s="785"/>
    </row>
    <row r="81" spans="2:5" x14ac:dyDescent="0.25">
      <c r="B81" s="782" t="s">
        <v>1317</v>
      </c>
      <c r="C81" s="792" t="s">
        <v>1384</v>
      </c>
      <c r="D81" s="784" t="s">
        <v>109</v>
      </c>
      <c r="E81" s="785"/>
    </row>
    <row r="82" spans="2:5" ht="30" customHeight="1" x14ac:dyDescent="0.25">
      <c r="B82" s="782" t="s">
        <v>1318</v>
      </c>
      <c r="C82" s="783" t="s">
        <v>1385</v>
      </c>
      <c r="D82" s="784" t="s">
        <v>109</v>
      </c>
      <c r="E82" s="785"/>
    </row>
    <row r="83" spans="2:5" x14ac:dyDescent="0.25">
      <c r="B83" s="782" t="s">
        <v>1319</v>
      </c>
      <c r="C83" s="783" t="s">
        <v>1386</v>
      </c>
      <c r="D83" s="784" t="s">
        <v>109</v>
      </c>
      <c r="E83" s="785"/>
    </row>
    <row r="84" spans="2:5" x14ac:dyDescent="0.25">
      <c r="B84" s="782" t="s">
        <v>1320</v>
      </c>
      <c r="C84" s="792" t="s">
        <v>1387</v>
      </c>
      <c r="D84" s="784" t="s">
        <v>109</v>
      </c>
      <c r="E84" s="785"/>
    </row>
    <row r="85" spans="2:5" x14ac:dyDescent="0.25">
      <c r="B85" s="782" t="s">
        <v>1321</v>
      </c>
      <c r="C85" s="792" t="s">
        <v>1388</v>
      </c>
      <c r="D85" s="784" t="s">
        <v>109</v>
      </c>
      <c r="E85" s="785"/>
    </row>
    <row r="86" spans="2:5" ht="30" customHeight="1" x14ac:dyDescent="0.25">
      <c r="B86" s="782" t="s">
        <v>1322</v>
      </c>
      <c r="C86" s="783" t="s">
        <v>1389</v>
      </c>
      <c r="D86" s="784" t="s">
        <v>109</v>
      </c>
      <c r="E86" s="785"/>
    </row>
    <row r="87" spans="2:5" x14ac:dyDescent="0.25">
      <c r="B87" s="782" t="s">
        <v>1323</v>
      </c>
      <c r="C87" s="783" t="s">
        <v>1390</v>
      </c>
      <c r="D87" s="784" t="s">
        <v>109</v>
      </c>
      <c r="E87" s="785"/>
    </row>
    <row r="88" spans="2:5" x14ac:dyDescent="0.25">
      <c r="B88" s="782" t="s">
        <v>1327</v>
      </c>
      <c r="C88" s="783" t="s">
        <v>1394</v>
      </c>
      <c r="D88" s="784" t="s">
        <v>109</v>
      </c>
      <c r="E88" s="785"/>
    </row>
    <row r="89" spans="2:5" x14ac:dyDescent="0.25">
      <c r="B89" s="782" t="s">
        <v>1330</v>
      </c>
      <c r="C89" s="792" t="s">
        <v>1397</v>
      </c>
      <c r="D89" s="784" t="s">
        <v>109</v>
      </c>
      <c r="E89" s="785"/>
    </row>
    <row r="90" spans="2:5" x14ac:dyDescent="0.25">
      <c r="B90" s="782" t="s">
        <v>1338</v>
      </c>
      <c r="C90" s="792" t="s">
        <v>1405</v>
      </c>
      <c r="D90" s="784" t="s">
        <v>109</v>
      </c>
      <c r="E90" s="785"/>
    </row>
    <row r="91" spans="2:5" x14ac:dyDescent="0.25">
      <c r="B91" s="782" t="s">
        <v>1339</v>
      </c>
      <c r="C91" s="792" t="s">
        <v>1406</v>
      </c>
      <c r="D91" s="784" t="s">
        <v>109</v>
      </c>
      <c r="E91" s="785"/>
    </row>
    <row r="92" spans="2:5" x14ac:dyDescent="0.25">
      <c r="B92" s="782" t="s">
        <v>1340</v>
      </c>
      <c r="C92" s="792" t="s">
        <v>1407</v>
      </c>
      <c r="D92" s="784" t="s">
        <v>109</v>
      </c>
      <c r="E92" s="785"/>
    </row>
    <row r="93" spans="2:5" x14ac:dyDescent="0.25">
      <c r="B93" s="289" t="s">
        <v>1341</v>
      </c>
      <c r="C93" s="37" t="s">
        <v>1408</v>
      </c>
      <c r="D93" s="778" t="s">
        <v>109</v>
      </c>
      <c r="E93" s="779"/>
    </row>
  </sheetData>
  <hyperlinks>
    <hyperlink ref="D4" location="'1'!A1" display="'1'!A1" xr:uid="{1AF086C4-6D0B-4E11-890A-00EE8A79951F}"/>
    <hyperlink ref="D5" location="'2'!A1" display="'2'!A1" xr:uid="{1A15DBAC-D760-4C0E-AB12-2D1B6755FB24}"/>
    <hyperlink ref="D7" location="'3'!A1" display="'3'!A1" xr:uid="{32B3C1A1-295E-40EC-9EF2-F9D4A4F5472A}"/>
    <hyperlink ref="D8" location="'4'!A1" display="'4'!A1" xr:uid="{6DFE0BA1-D475-4053-BA3B-9196A360DFE2}"/>
    <hyperlink ref="D9" location="'5'!A1" display="'5'!A1" xr:uid="{66E1AB48-E741-4A21-BDE7-CDC62B9DA5CE}"/>
    <hyperlink ref="D71" location="'EU INS1'!A1" display="N/A" xr:uid="{6B199075-0A66-474E-88E5-A3D115C43E7F}"/>
    <hyperlink ref="D72" location="'EU INS2'!A1" display="N/A" xr:uid="{C546D968-3ABC-4C97-9E26-9E0992883AF3}"/>
    <hyperlink ref="D11" location="'6'!A1" display="'6'!A1" xr:uid="{04056AFD-C4D4-47F4-8FB5-421DDF5A4CA7}"/>
    <hyperlink ref="D12" location="'7'!A1" display="'7'!A1" xr:uid="{9464EEEA-4555-4B15-A08F-4137B2BEC115}"/>
    <hyperlink ref="D74" location="'EU CCyB1'!A1" display="N/A" xr:uid="{B8AD7A9D-1D36-43DF-8ACB-3D006B9BEB0A}"/>
    <hyperlink ref="D14" location="'8'!A1" display="'8'!A1" xr:uid="{AD1E259B-CE1F-4409-8A21-C92A6DAC0C56}"/>
    <hyperlink ref="D15" location="'9'!A1" display="'9'!A1" xr:uid="{C5BE0E0D-5D8E-4FF9-A4DA-022E98394AFB}"/>
    <hyperlink ref="D16" location="'10'!A1" display="'10'!A1" xr:uid="{69DC3340-FD3F-4274-9CA4-3444A0033267}"/>
    <hyperlink ref="D18" location="'11'!A1" display="'11'!A1" xr:uid="{3D7BF880-EDA2-4C67-84BF-65EC06FB27A4}"/>
    <hyperlink ref="D19" location="'12'!A1" display="'12'!A1" xr:uid="{56341BA1-703B-4CC5-ACE0-DC093DD08FAC}"/>
    <hyperlink ref="D23" location="'14'!A1" display="'14'!A1" xr:uid="{0AFC9E3D-9B05-4147-95FC-5F1113054A41}"/>
    <hyperlink ref="D24" location="'15'!A1" display="'15'!A1" xr:uid="{8FEFA364-1C43-4678-88CF-50C8BE6AC4CB}"/>
    <hyperlink ref="D25" location="'16'!A1" display="'16'!A1" xr:uid="{EA472CBE-10B2-4FED-882B-3A2C8CBA526A}"/>
    <hyperlink ref="D75" location="'Skema EU CR2a'!A1" display="'Skema EU CR2a'!A1" xr:uid="{C0DBFCC9-D722-49ED-B707-3B2C12D093CB}"/>
    <hyperlink ref="D26" location="'17'!A1" display="'17'!A1" xr:uid="{024CE935-DD88-44F9-8BD9-9DD3797C7C97}"/>
    <hyperlink ref="D76" location="'Skema EU CQ2'!A1" display="'Skema EU CQ2'!A1" xr:uid="{D6F6F507-1725-4D8B-8D1A-01ADC4C1876E}"/>
    <hyperlink ref="D27" location="'18'!A1" display="'18'!A1" xr:uid="{76ABBB50-CC7D-42EC-BBB6-C0B81D446DA8}"/>
    <hyperlink ref="D77" location="'Skema EU CQ4'!A1" display="'Skema EU CQ4'!A1" xr:uid="{0C1B2BD0-5127-4332-A333-6A946A04C897}"/>
    <hyperlink ref="D28" location="'19'!A1" display="'19'!A1" xr:uid="{59CC8A26-140D-4189-982E-F8734A0ED295}"/>
    <hyperlink ref="D78" location="'Skema EU CQ6'!A1" display="'Skema EU CQ6'!A1" xr:uid="{E3F34009-805B-47C0-80FA-4FBA1A2AB0E1}"/>
    <hyperlink ref="D54" location="'33'!A1" display="'33'!A1" xr:uid="{8B0889BF-4AD9-4704-9AF5-8E7FE83E3EE5}"/>
    <hyperlink ref="D79" location="'Skema EU CQ8'!A1" display="'Skema EU CQ8'!A1" xr:uid="{D397B70F-7BEA-488B-A016-CA6E8225B781}"/>
    <hyperlink ref="D30" location="'20'!A1" display="'20'!A1" xr:uid="{470E8083-6423-4D75-9D7C-4CE859A6A63D}"/>
    <hyperlink ref="D32" location="'21'!A1" display="'21'!A1" xr:uid="{698A5D94-6D6F-4CF8-96A7-B97B449519D1}"/>
    <hyperlink ref="D33" location="'22'!A1" display="'22'!A1" xr:uid="{15154B45-8D55-4BAE-92E4-C2D7B960A077}"/>
    <hyperlink ref="D80" location="'EU CR6'!A1" display="N/A" xr:uid="{76D91008-1BA7-4E3B-9E48-5B9CA27263AD}"/>
    <hyperlink ref="D81" location="'EU CR6-A'!A1" display="N/A" xr:uid="{B0E71C6B-5903-414C-9992-3CF0FA631490}"/>
    <hyperlink ref="D82" location="'EU CR7'!A1" display="N/A" xr:uid="{17D80C03-88FB-46E6-B122-2DC0147F04F6}"/>
    <hyperlink ref="D83" location="'EU CR7-A'!A1" display="N/A" xr:uid="{FE5A6640-DCFE-4BB3-B069-A570E2623494}"/>
    <hyperlink ref="D84" location="'EU CR8'!A1" display="N/A" xr:uid="{DE95ECCE-E7A8-476C-A980-DB47E4EB2831}"/>
    <hyperlink ref="D85" location="'EU CR9'!A1" display="N/A" xr:uid="{08A4EB5D-60B8-4000-A031-FCD89BF02725}"/>
    <hyperlink ref="D86" location="'EU CR9.1'!A1" display="N/A" xr:uid="{354AC1D6-7A1D-4AD1-8FE0-135365C3297F}"/>
    <hyperlink ref="D87" location="'EU CR10 '!A1" display="N/A" xr:uid="{B2942A9D-7AE1-42CA-8E49-B30DF14D5459}"/>
    <hyperlink ref="D35" location="'23'!A1" display="'23'!A1" xr:uid="{944772DE-5CDA-45C1-83E7-C3B3C9868E10}"/>
    <hyperlink ref="D36" location="'24'!A1" display="'24'!A1" xr:uid="{6883383C-D190-4A9C-9419-3CD7C6083C80}"/>
    <hyperlink ref="D88" location="'Skema EU CCR4'!A1" display="N/A" xr:uid="{4C5961EC-15F7-4D38-88E0-D5C3BA2BB59F}"/>
    <hyperlink ref="D56" location="'35'!A1" display="'35'!A1" xr:uid="{0369E3EA-F8CC-486E-889E-AED80753D8AA}"/>
    <hyperlink ref="D57" location="'36'!A1" display="'36'!A1" xr:uid="{05DC5CC7-F175-49A8-A317-F5C7509D3DA3}"/>
    <hyperlink ref="D58" location="'37'!A1" display="'37'!A1" xr:uid="{1B5C78E1-34D2-412C-8E92-AC34A45008C1}"/>
    <hyperlink ref="D59" location="'38'!A1" display="'38'!A1" xr:uid="{F90BFEE6-C5CD-4D09-AEFF-A2DEB82C579E}"/>
    <hyperlink ref="D60" location="'39'!A1" display="'39'!A1" xr:uid="{E5BA7859-34AD-4CCE-AC5F-F3F685B98311}"/>
    <hyperlink ref="D61" location="'40'!A1" display="'40'!A1" xr:uid="{D47BB981-B2AD-411F-A633-49CA8935F29D}"/>
    <hyperlink ref="D62" location="'41'!A1" display="'41'!A1" xr:uid="{093ADCB8-09FB-409E-A7BB-939638283A09}"/>
    <hyperlink ref="D63" location="'42'!A1" display="'42'!A1" xr:uid="{CA120686-D15A-4F8A-98E8-6060C5AD006E}"/>
    <hyperlink ref="D38" location="'25'!A1" display="'25'!A1" xr:uid="{45F59A0A-DCE3-4657-96D8-8A93E22189D8}"/>
    <hyperlink ref="D40" location="'26'!A1" display="'26'!A1" xr:uid="{B025CDD8-5F2D-4A77-B823-7D7F3AF6683C}"/>
    <hyperlink ref="D42" location="'27'!A1" display="'27'!A1" xr:uid="{54CCF898-7DF1-4B20-9CA4-6CA8DC1D91F4}"/>
    <hyperlink ref="D64" location="'43'!A1" display="'43'!A1" xr:uid="{424E4334-2E54-41C9-A734-2DE10EC0E46F}"/>
    <hyperlink ref="D65" location="'44'!A1" display="'44'!A1" xr:uid="{04335861-ACC2-4EC1-B72C-77E0238734FA}"/>
    <hyperlink ref="D66" location="'45'!A1" display="'45'!A1" xr:uid="{B7F8CEA2-0AD7-430F-8AAD-C75FA2B0181A}"/>
    <hyperlink ref="D43" location="'28'!A1" display="'28'!A1" xr:uid="{672A9AD7-D20C-4E78-A10E-97A9CEA2F3BF}"/>
    <hyperlink ref="D45" location="'29'!A1" display="'29'!A1" xr:uid="{C0B812DE-7A05-4691-90BC-AC65E127D940}"/>
    <hyperlink ref="D67" location="'46'!A1" display="'46'!A1" xr:uid="{73368018-C286-4D28-B152-49A4C117A236}"/>
    <hyperlink ref="D68" location="'47'!A1" display="'47'!A1" xr:uid="{34ED87A3-0668-4614-88A8-A7497B9B1202}"/>
    <hyperlink ref="D55" location="'34'!A1" display="'34'!A1" xr:uid="{BDB3A013-3CE1-4248-AA43-0567669E4E87}"/>
    <hyperlink ref="D73" location="'Skema EU PV1'!A1" display="N/A" xr:uid="{398ED472-D4B6-44F1-A78A-4D139A4B9DC5}"/>
    <hyperlink ref="D89:D93" location="'Skema EU CCR4'!A1" display="N/A" xr:uid="{DD79EDB6-A736-4D20-881B-75CC92DAAEBF}"/>
    <hyperlink ref="D89" location="'Skema EU CCR7'!A1" display="N/A" xr:uid="{90E65507-5AEE-4570-AB48-907765D1D927}"/>
    <hyperlink ref="D21" location="'13'!A1" display="'13'!A1" xr:uid="{DAC03BC2-3817-4D60-972D-E3742495D976}"/>
    <hyperlink ref="D90" location="'EU MR2-A'!A1" display="N/A" xr:uid="{A05A6142-728D-43C2-BB12-4ECD5ABA37F2}"/>
    <hyperlink ref="D91" location="'EU MR2-B'!A1" display="N/A" xr:uid="{F90C7D6A-9971-475E-BD9D-D3CC2F484150}"/>
    <hyperlink ref="D92" location="'EU MR3'!A1" display="N/A" xr:uid="{B484F2AA-06C2-4F33-ADEB-956366E815DC}"/>
    <hyperlink ref="D93" location="'EU MR4'!A1" display="N/A" xr:uid="{17EF58AB-03E4-494B-AF39-A28B1EAA273C}"/>
    <hyperlink ref="D47" location="'30'!A1" display="'30'!A1" xr:uid="{14EA86FA-7D49-4AEA-A525-0744057A5018}"/>
    <hyperlink ref="D48" location="'31'!A1" display="'31'!A1" xr:uid="{8580EA00-E3CC-438D-B883-BA3A24DE5D68}"/>
    <hyperlink ref="D49" location="'32'!A1" display="'32'!A1" xr:uid="{BDB88543-1090-4D0B-9F23-255BE4E49863}"/>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74CB7-5E45-4A07-BD08-C06EC2E9535F}">
  <sheetPr>
    <pageSetUpPr fitToPage="1"/>
  </sheetPr>
  <dimension ref="A2:R32"/>
  <sheetViews>
    <sheetView showGridLines="0" zoomScaleNormal="100" workbookViewId="0">
      <selection activeCell="F1" sqref="F1"/>
    </sheetView>
  </sheetViews>
  <sheetFormatPr defaultColWidth="9.140625" defaultRowHeight="15" x14ac:dyDescent="0.25"/>
  <cols>
    <col min="1" max="1" width="9.140625" style="1"/>
    <col min="2" max="2" width="11.5703125" style="1" customWidth="1"/>
    <col min="3" max="3" width="8.140625" style="1" customWidth="1"/>
    <col min="4" max="4" width="9.140625" style="1"/>
    <col min="5" max="5" width="72.42578125" style="1" customWidth="1"/>
    <col min="6" max="6" width="20.140625" style="1" customWidth="1"/>
    <col min="7" max="8" width="22" style="1" customWidth="1"/>
    <col min="9" max="9" width="44.42578125" style="1" customWidth="1"/>
    <col min="10" max="16384" width="9.140625" style="1"/>
  </cols>
  <sheetData>
    <row r="2" spans="1:18" ht="18.75" x14ac:dyDescent="0.3">
      <c r="B2" s="866" t="s">
        <v>1117</v>
      </c>
      <c r="D2" s="416"/>
      <c r="F2" s="416"/>
      <c r="G2" s="416"/>
      <c r="H2" s="416"/>
      <c r="I2" s="416"/>
      <c r="J2" s="416"/>
      <c r="K2" s="416"/>
      <c r="L2" s="416"/>
      <c r="M2" s="416"/>
      <c r="N2" s="416"/>
      <c r="O2" s="416"/>
      <c r="P2" s="416"/>
      <c r="Q2" s="416"/>
      <c r="R2" s="416"/>
    </row>
    <row r="5" spans="1:18" x14ac:dyDescent="0.25">
      <c r="B5" s="438"/>
      <c r="C5" s="438"/>
      <c r="D5" s="438"/>
      <c r="E5" s="438"/>
      <c r="F5" s="484" t="s">
        <v>103</v>
      </c>
      <c r="G5" s="484" t="s">
        <v>102</v>
      </c>
      <c r="H5" s="484" t="s">
        <v>97</v>
      </c>
      <c r="I5" s="484" t="s">
        <v>96</v>
      </c>
    </row>
    <row r="6" spans="1:18" ht="30" x14ac:dyDescent="0.25">
      <c r="B6" s="460" t="s">
        <v>1423</v>
      </c>
      <c r="C6" s="1119"/>
      <c r="D6" s="1119"/>
      <c r="E6" s="1120"/>
      <c r="F6" s="464" t="s">
        <v>1118</v>
      </c>
      <c r="G6" s="464" t="s">
        <v>1119</v>
      </c>
      <c r="H6" s="464" t="s">
        <v>1120</v>
      </c>
      <c r="I6" s="465" t="s">
        <v>1121</v>
      </c>
    </row>
    <row r="7" spans="1:18" ht="15" customHeight="1" x14ac:dyDescent="0.25">
      <c r="A7" s="373"/>
      <c r="B7" s="454">
        <v>1</v>
      </c>
      <c r="C7" s="1121" t="s">
        <v>1122</v>
      </c>
      <c r="D7" s="1122"/>
      <c r="E7" s="179" t="s">
        <v>1123</v>
      </c>
      <c r="F7" s="556">
        <v>9</v>
      </c>
      <c r="G7" s="556">
        <v>1</v>
      </c>
      <c r="H7" s="556"/>
      <c r="I7" s="556">
        <v>9.5</v>
      </c>
    </row>
    <row r="8" spans="1:18" x14ac:dyDescent="0.25">
      <c r="B8" s="454">
        <v>2</v>
      </c>
      <c r="C8" s="1123"/>
      <c r="D8" s="1124"/>
      <c r="E8" s="179" t="s">
        <v>1124</v>
      </c>
      <c r="F8" s="1129">
        <v>6236</v>
      </c>
      <c r="G8" s="1130"/>
      <c r="H8" s="557"/>
      <c r="I8" s="557">
        <v>9088</v>
      </c>
    </row>
    <row r="9" spans="1:18" x14ac:dyDescent="0.25">
      <c r="B9" s="454">
        <v>3</v>
      </c>
      <c r="C9" s="1123"/>
      <c r="D9" s="1124"/>
      <c r="E9" s="345" t="s">
        <v>1422</v>
      </c>
      <c r="F9" s="1129">
        <v>6236</v>
      </c>
      <c r="G9" s="1130"/>
      <c r="H9" s="557"/>
      <c r="I9" s="557">
        <v>9088</v>
      </c>
    </row>
    <row r="10" spans="1:18" x14ac:dyDescent="0.25">
      <c r="B10" s="454">
        <v>4</v>
      </c>
      <c r="C10" s="1123"/>
      <c r="D10" s="1124"/>
      <c r="E10" s="345" t="s">
        <v>1126</v>
      </c>
      <c r="F10" s="371"/>
      <c r="G10" s="371"/>
      <c r="H10" s="371"/>
      <c r="I10" s="371"/>
    </row>
    <row r="11" spans="1:18" x14ac:dyDescent="0.25">
      <c r="B11" s="454" t="s">
        <v>1127</v>
      </c>
      <c r="C11" s="1123"/>
      <c r="D11" s="1124"/>
      <c r="E11" s="345" t="s">
        <v>1128</v>
      </c>
      <c r="F11" s="557">
        <v>0</v>
      </c>
      <c r="G11" s="557">
        <v>0</v>
      </c>
      <c r="H11" s="557">
        <v>0</v>
      </c>
      <c r="I11" s="557">
        <v>0</v>
      </c>
    </row>
    <row r="12" spans="1:18" ht="30" x14ac:dyDescent="0.25">
      <c r="B12" s="454">
        <v>5</v>
      </c>
      <c r="C12" s="1123"/>
      <c r="D12" s="1124"/>
      <c r="E12" s="345" t="s">
        <v>1129</v>
      </c>
      <c r="F12" s="557">
        <v>0</v>
      </c>
      <c r="G12" s="557">
        <v>0</v>
      </c>
      <c r="H12" s="557">
        <v>0</v>
      </c>
      <c r="I12" s="557">
        <v>0</v>
      </c>
    </row>
    <row r="13" spans="1:18" x14ac:dyDescent="0.25">
      <c r="B13" s="454" t="s">
        <v>1130</v>
      </c>
      <c r="C13" s="1123"/>
      <c r="D13" s="1124"/>
      <c r="E13" s="345" t="s">
        <v>1131</v>
      </c>
      <c r="F13" s="557">
        <v>0</v>
      </c>
      <c r="G13" s="557">
        <v>0</v>
      </c>
      <c r="H13" s="557">
        <v>0</v>
      </c>
      <c r="I13" s="557">
        <v>0</v>
      </c>
    </row>
    <row r="14" spans="1:18" x14ac:dyDescent="0.25">
      <c r="B14" s="454">
        <v>6</v>
      </c>
      <c r="C14" s="1123"/>
      <c r="D14" s="1124"/>
      <c r="E14" s="345" t="s">
        <v>1126</v>
      </c>
      <c r="F14" s="371"/>
      <c r="G14" s="371"/>
      <c r="H14" s="371"/>
      <c r="I14" s="371"/>
    </row>
    <row r="15" spans="1:18" x14ac:dyDescent="0.25">
      <c r="B15" s="454">
        <v>7</v>
      </c>
      <c r="C15" s="1123"/>
      <c r="D15" s="1124"/>
      <c r="E15" s="345" t="s">
        <v>1132</v>
      </c>
      <c r="F15" s="557"/>
      <c r="G15" s="557"/>
      <c r="H15" s="557"/>
      <c r="I15" s="557"/>
    </row>
    <row r="16" spans="1:18" x14ac:dyDescent="0.25">
      <c r="B16" s="454">
        <v>8</v>
      </c>
      <c r="C16" s="1125"/>
      <c r="D16" s="1126"/>
      <c r="E16" s="345" t="s">
        <v>1126</v>
      </c>
      <c r="F16" s="371"/>
      <c r="G16" s="371"/>
      <c r="H16" s="371"/>
      <c r="I16" s="371"/>
    </row>
    <row r="17" spans="2:9" x14ac:dyDescent="0.25">
      <c r="B17" s="454">
        <v>9</v>
      </c>
      <c r="C17" s="1127" t="s">
        <v>1133</v>
      </c>
      <c r="D17" s="1127"/>
      <c r="E17" s="179" t="s">
        <v>1123</v>
      </c>
      <c r="F17" s="557">
        <v>0</v>
      </c>
      <c r="G17" s="557">
        <v>0</v>
      </c>
      <c r="H17" s="557">
        <v>0</v>
      </c>
      <c r="I17" s="557">
        <v>0</v>
      </c>
    </row>
    <row r="18" spans="2:9" x14ac:dyDescent="0.25">
      <c r="B18" s="454">
        <v>10</v>
      </c>
      <c r="C18" s="1127"/>
      <c r="D18" s="1127"/>
      <c r="E18" s="179" t="s">
        <v>1134</v>
      </c>
      <c r="F18" s="557">
        <v>0</v>
      </c>
      <c r="G18" s="557">
        <v>0</v>
      </c>
      <c r="H18" s="557">
        <v>0</v>
      </c>
      <c r="I18" s="557">
        <v>0</v>
      </c>
    </row>
    <row r="19" spans="2:9" x14ac:dyDescent="0.25">
      <c r="B19" s="454">
        <v>11</v>
      </c>
      <c r="C19" s="1127"/>
      <c r="D19" s="1127"/>
      <c r="E19" s="345" t="s">
        <v>1125</v>
      </c>
      <c r="F19" s="557">
        <v>0</v>
      </c>
      <c r="G19" s="557">
        <v>0</v>
      </c>
      <c r="H19" s="557">
        <v>0</v>
      </c>
      <c r="I19" s="557">
        <v>0</v>
      </c>
    </row>
    <row r="20" spans="2:9" x14ac:dyDescent="0.25">
      <c r="B20" s="454">
        <v>12</v>
      </c>
      <c r="C20" s="1127"/>
      <c r="D20" s="1127"/>
      <c r="E20" s="345" t="s">
        <v>1135</v>
      </c>
      <c r="F20" s="557">
        <v>0</v>
      </c>
      <c r="G20" s="557">
        <v>0</v>
      </c>
      <c r="H20" s="557">
        <v>0</v>
      </c>
      <c r="I20" s="557">
        <v>0</v>
      </c>
    </row>
    <row r="21" spans="2:9" x14ac:dyDescent="0.25">
      <c r="B21" s="454" t="s">
        <v>1136</v>
      </c>
      <c r="C21" s="1127"/>
      <c r="D21" s="1127"/>
      <c r="E21" s="345" t="s">
        <v>1128</v>
      </c>
      <c r="F21" s="557">
        <v>0</v>
      </c>
      <c r="G21" s="557">
        <v>0</v>
      </c>
      <c r="H21" s="557">
        <v>0</v>
      </c>
      <c r="I21" s="557">
        <v>0</v>
      </c>
    </row>
    <row r="22" spans="2:9" x14ac:dyDescent="0.25">
      <c r="B22" s="454" t="s">
        <v>1137</v>
      </c>
      <c r="C22" s="1127"/>
      <c r="D22" s="1127"/>
      <c r="E22" s="345" t="s">
        <v>1135</v>
      </c>
      <c r="F22" s="557">
        <v>0</v>
      </c>
      <c r="G22" s="557">
        <v>0</v>
      </c>
      <c r="H22" s="557">
        <v>0</v>
      </c>
      <c r="I22" s="557">
        <v>0</v>
      </c>
    </row>
    <row r="23" spans="2:9" ht="30" x14ac:dyDescent="0.25">
      <c r="B23" s="454" t="s">
        <v>1138</v>
      </c>
      <c r="C23" s="1127"/>
      <c r="D23" s="1127"/>
      <c r="E23" s="345" t="s">
        <v>1129</v>
      </c>
      <c r="F23" s="557">
        <v>0</v>
      </c>
      <c r="G23" s="557">
        <v>0</v>
      </c>
      <c r="H23" s="557">
        <v>0</v>
      </c>
      <c r="I23" s="557">
        <v>0</v>
      </c>
    </row>
    <row r="24" spans="2:9" x14ac:dyDescent="0.25">
      <c r="B24" s="454" t="s">
        <v>1139</v>
      </c>
      <c r="C24" s="1127"/>
      <c r="D24" s="1127"/>
      <c r="E24" s="345" t="s">
        <v>1135</v>
      </c>
      <c r="F24" s="557">
        <v>0</v>
      </c>
      <c r="G24" s="557">
        <v>0</v>
      </c>
      <c r="H24" s="557">
        <v>0</v>
      </c>
      <c r="I24" s="557">
        <v>0</v>
      </c>
    </row>
    <row r="25" spans="2:9" x14ac:dyDescent="0.25">
      <c r="B25" s="454" t="s">
        <v>1140</v>
      </c>
      <c r="C25" s="1127"/>
      <c r="D25" s="1127"/>
      <c r="E25" s="345" t="s">
        <v>1131</v>
      </c>
      <c r="F25" s="557">
        <v>0</v>
      </c>
      <c r="G25" s="557">
        <v>0</v>
      </c>
      <c r="H25" s="557">
        <v>0</v>
      </c>
      <c r="I25" s="557">
        <v>0</v>
      </c>
    </row>
    <row r="26" spans="2:9" x14ac:dyDescent="0.25">
      <c r="B26" s="454" t="s">
        <v>1141</v>
      </c>
      <c r="C26" s="1127"/>
      <c r="D26" s="1127"/>
      <c r="E26" s="345" t="s">
        <v>1135</v>
      </c>
      <c r="F26" s="557">
        <v>0</v>
      </c>
      <c r="G26" s="557">
        <v>0</v>
      </c>
      <c r="H26" s="557">
        <v>0</v>
      </c>
      <c r="I26" s="557">
        <v>0</v>
      </c>
    </row>
    <row r="27" spans="2:9" x14ac:dyDescent="0.25">
      <c r="B27" s="454">
        <v>15</v>
      </c>
      <c r="C27" s="1127"/>
      <c r="D27" s="1127"/>
      <c r="E27" s="345" t="s">
        <v>1132</v>
      </c>
      <c r="F27" s="557">
        <v>0</v>
      </c>
      <c r="G27" s="557">
        <v>0</v>
      </c>
      <c r="H27" s="557">
        <v>0</v>
      </c>
      <c r="I27" s="557">
        <v>0</v>
      </c>
    </row>
    <row r="28" spans="2:9" x14ac:dyDescent="0.25">
      <c r="B28" s="454">
        <v>16</v>
      </c>
      <c r="C28" s="1127"/>
      <c r="D28" s="1127"/>
      <c r="E28" s="345" t="s">
        <v>1135</v>
      </c>
      <c r="F28" s="557">
        <v>0</v>
      </c>
      <c r="G28" s="557">
        <v>0</v>
      </c>
      <c r="H28" s="557">
        <v>0</v>
      </c>
      <c r="I28" s="557">
        <v>0</v>
      </c>
    </row>
    <row r="29" spans="2:9" x14ac:dyDescent="0.25">
      <c r="B29" s="454">
        <v>17</v>
      </c>
      <c r="C29" s="1128" t="s">
        <v>1142</v>
      </c>
      <c r="D29" s="1128"/>
      <c r="E29" s="1128"/>
      <c r="F29" s="1129">
        <f>+F9</f>
        <v>6236</v>
      </c>
      <c r="G29" s="1130"/>
      <c r="H29" s="557">
        <f t="shared" ref="H29:I29" si="0">+H8+H18</f>
        <v>0</v>
      </c>
      <c r="I29" s="557">
        <f t="shared" si="0"/>
        <v>9088</v>
      </c>
    </row>
    <row r="31" spans="2:9" x14ac:dyDescent="0.25">
      <c r="B31" s="1" t="s">
        <v>1492</v>
      </c>
    </row>
    <row r="32" spans="2:9" x14ac:dyDescent="0.25">
      <c r="B32" s="1" t="s">
        <v>1490</v>
      </c>
    </row>
  </sheetData>
  <mergeCells count="7">
    <mergeCell ref="C6:E6"/>
    <mergeCell ref="C7:D16"/>
    <mergeCell ref="C17:D28"/>
    <mergeCell ref="C29:E29"/>
    <mergeCell ref="F9:G9"/>
    <mergeCell ref="F29:G29"/>
    <mergeCell ref="F8:G8"/>
  </mergeCells>
  <hyperlinks>
    <hyperlink ref="B2" location="Indhold!B42" display="Skema EU REM1 – Aflønning tildelt i løbet af regnskabsåret " xr:uid="{788F18C1-9674-44C5-9A64-32364DC01C4A}"/>
  </hyperlinks>
  <pageMargins left="0.70866141732283472" right="0.70866141732283472" top="0.74803149606299213" bottom="0.74803149606299213" header="0.31496062992125984" footer="0.31496062992125984"/>
  <pageSetup paperSize="9" scale="60" fitToHeight="0" orientation="landscape" cellComments="asDisplayed" r:id="rId1"/>
  <headerFooter>
    <oddHeader>&amp;CDA
Bilag XXXIII</oddHeader>
    <oddFooter>&amp;C&amp;P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B5BA2-C160-44DF-A4FC-05F5529B49E1}">
  <dimension ref="B2:R15"/>
  <sheetViews>
    <sheetView showGridLines="0" zoomScaleNormal="100" workbookViewId="0">
      <selection activeCell="F1" sqref="F1"/>
    </sheetView>
  </sheetViews>
  <sheetFormatPr defaultColWidth="9.140625" defaultRowHeight="15" x14ac:dyDescent="0.25"/>
  <cols>
    <col min="1" max="1" width="9.140625" style="1"/>
    <col min="2" max="2" width="7.42578125" style="1" customWidth="1"/>
    <col min="3" max="3" width="55.5703125" style="1" customWidth="1"/>
    <col min="4" max="4" width="23" style="1" bestFit="1" customWidth="1"/>
    <col min="5" max="5" width="23.42578125" style="1" customWidth="1"/>
    <col min="6" max="6" width="15.42578125" style="1" customWidth="1"/>
    <col min="7" max="7" width="14.7109375" style="1" bestFit="1" customWidth="1"/>
    <col min="8" max="8" width="19.28515625" style="1" bestFit="1" customWidth="1"/>
    <col min="9" max="9" width="19.85546875" style="1" bestFit="1" customWidth="1"/>
    <col min="10" max="10" width="17.140625" style="1" bestFit="1" customWidth="1"/>
    <col min="11" max="11" width="13.28515625" style="1" customWidth="1"/>
    <col min="12" max="12" width="9.140625" style="1"/>
    <col min="13" max="13" width="14.140625" style="1" customWidth="1"/>
    <col min="14" max="16384" width="9.140625" style="1"/>
  </cols>
  <sheetData>
    <row r="2" spans="2:18" ht="18.75" x14ac:dyDescent="0.3">
      <c r="B2" s="866" t="s">
        <v>1192</v>
      </c>
      <c r="D2" s="416"/>
      <c r="F2" s="416"/>
      <c r="G2" s="416"/>
      <c r="H2" s="416"/>
      <c r="I2" s="416"/>
      <c r="J2" s="416"/>
      <c r="K2" s="416"/>
      <c r="L2" s="416"/>
      <c r="M2" s="416"/>
      <c r="N2" s="416"/>
      <c r="O2" s="416"/>
      <c r="P2" s="416"/>
      <c r="Q2" s="416"/>
      <c r="R2" s="416"/>
    </row>
    <row r="3" spans="2:18" x14ac:dyDescent="0.25">
      <c r="C3" s="384"/>
      <c r="D3" s="384"/>
      <c r="E3" s="384"/>
      <c r="F3" s="384"/>
      <c r="G3" s="385"/>
      <c r="H3" s="385"/>
      <c r="I3" s="385"/>
      <c r="J3" s="385"/>
      <c r="K3" s="385"/>
      <c r="L3" s="385"/>
      <c r="M3" s="385"/>
    </row>
    <row r="4" spans="2:18" ht="15.75" thickBot="1" x14ac:dyDescent="0.3">
      <c r="C4" s="384"/>
      <c r="D4" s="384"/>
      <c r="E4" s="384"/>
      <c r="F4" s="384"/>
      <c r="G4" s="385"/>
      <c r="H4" s="385"/>
      <c r="I4" s="385"/>
      <c r="J4" s="385"/>
      <c r="K4" s="385"/>
      <c r="L4" s="385"/>
      <c r="M4" s="385"/>
    </row>
    <row r="5" spans="2:18" ht="15" customHeight="1" thickBot="1" x14ac:dyDescent="0.3">
      <c r="B5" s="438"/>
      <c r="C5" s="439"/>
      <c r="D5" s="1131" t="s">
        <v>1193</v>
      </c>
      <c r="E5" s="1131"/>
      <c r="F5" s="1131"/>
      <c r="G5" s="1131" t="s">
        <v>1194</v>
      </c>
      <c r="H5" s="1131"/>
      <c r="I5" s="1131"/>
      <c r="J5" s="1131"/>
      <c r="K5" s="1131"/>
      <c r="L5" s="1131"/>
      <c r="M5" s="720"/>
    </row>
    <row r="6" spans="2:18" ht="45" x14ac:dyDescent="0.25">
      <c r="B6" s="441" t="s">
        <v>1423</v>
      </c>
      <c r="C6" s="438"/>
      <c r="D6" s="721" t="s">
        <v>1118</v>
      </c>
      <c r="E6" s="721" t="s">
        <v>1175</v>
      </c>
      <c r="F6" s="721" t="s">
        <v>1195</v>
      </c>
      <c r="G6" s="721" t="s">
        <v>1280</v>
      </c>
      <c r="H6" s="721" t="s">
        <v>1196</v>
      </c>
      <c r="I6" s="721" t="s">
        <v>1197</v>
      </c>
      <c r="J6" s="721" t="s">
        <v>1198</v>
      </c>
      <c r="K6" s="721" t="s">
        <v>1281</v>
      </c>
      <c r="L6" s="721" t="s">
        <v>1199</v>
      </c>
      <c r="M6" s="721" t="s">
        <v>815</v>
      </c>
    </row>
    <row r="7" spans="2:18" x14ac:dyDescent="0.25">
      <c r="B7" s="722">
        <v>1</v>
      </c>
      <c r="C7" s="736" t="s">
        <v>1200</v>
      </c>
      <c r="D7" s="723"/>
      <c r="E7" s="723"/>
      <c r="F7" s="723"/>
      <c r="G7" s="723"/>
      <c r="H7" s="723"/>
      <c r="I7" s="723"/>
      <c r="J7" s="723"/>
      <c r="K7" s="723"/>
      <c r="L7" s="723"/>
      <c r="M7" s="724">
        <v>20</v>
      </c>
    </row>
    <row r="8" spans="2:18" x14ac:dyDescent="0.25">
      <c r="B8" s="722">
        <v>2</v>
      </c>
      <c r="C8" s="737" t="s">
        <v>1201</v>
      </c>
      <c r="D8" s="725">
        <v>9</v>
      </c>
      <c r="E8" s="725">
        <v>1</v>
      </c>
      <c r="F8" s="725">
        <v>10</v>
      </c>
      <c r="G8" s="726"/>
      <c r="H8" s="726"/>
      <c r="I8" s="726"/>
      <c r="J8" s="726"/>
      <c r="K8" s="726"/>
      <c r="L8" s="727"/>
      <c r="M8" s="728"/>
    </row>
    <row r="9" spans="2:18" x14ac:dyDescent="0.25">
      <c r="B9" s="722">
        <v>3</v>
      </c>
      <c r="C9" s="738" t="s">
        <v>1202</v>
      </c>
      <c r="D9" s="726"/>
      <c r="E9" s="726"/>
      <c r="F9" s="726"/>
      <c r="G9" s="729"/>
      <c r="H9" s="729"/>
      <c r="I9" s="729"/>
      <c r="J9" s="729"/>
      <c r="K9" s="729"/>
      <c r="L9" s="730"/>
      <c r="M9" s="728"/>
    </row>
    <row r="10" spans="2:18" x14ac:dyDescent="0.25">
      <c r="B10" s="722">
        <v>4</v>
      </c>
      <c r="C10" s="738" t="s">
        <v>1203</v>
      </c>
      <c r="D10" s="726"/>
      <c r="E10" s="726"/>
      <c r="F10" s="726"/>
      <c r="G10" s="729">
        <v>1</v>
      </c>
      <c r="H10" s="729"/>
      <c r="I10" s="729"/>
      <c r="J10" s="729">
        <v>6</v>
      </c>
      <c r="K10" s="729">
        <v>3</v>
      </c>
      <c r="L10" s="730"/>
      <c r="M10" s="728"/>
    </row>
    <row r="11" spans="2:18" x14ac:dyDescent="0.25">
      <c r="B11" s="722">
        <v>5</v>
      </c>
      <c r="C11" s="736" t="s">
        <v>1204</v>
      </c>
      <c r="D11" s="731"/>
      <c r="E11" s="725"/>
      <c r="F11" s="725"/>
      <c r="G11" s="1132">
        <v>9088</v>
      </c>
      <c r="H11" s="1133"/>
      <c r="I11" s="1133"/>
      <c r="J11" s="1133"/>
      <c r="K11" s="1133"/>
      <c r="L11" s="1134"/>
      <c r="M11" s="728"/>
    </row>
    <row r="12" spans="2:18" x14ac:dyDescent="0.25">
      <c r="B12" s="722">
        <v>6</v>
      </c>
      <c r="C12" s="737" t="s">
        <v>1205</v>
      </c>
      <c r="D12" s="732"/>
      <c r="E12" s="733"/>
      <c r="F12" s="733"/>
      <c r="G12" s="734"/>
      <c r="H12" s="734"/>
      <c r="I12" s="734"/>
      <c r="J12" s="734"/>
      <c r="K12" s="734"/>
      <c r="L12" s="735"/>
      <c r="M12" s="728"/>
    </row>
    <row r="13" spans="2:18" x14ac:dyDescent="0.25">
      <c r="B13" s="722">
        <v>7</v>
      </c>
      <c r="C13" s="738" t="s">
        <v>1206</v>
      </c>
      <c r="D13" s="732"/>
      <c r="E13" s="733"/>
      <c r="F13" s="733">
        <v>6236</v>
      </c>
      <c r="G13" s="1135">
        <v>9088</v>
      </c>
      <c r="H13" s="1136"/>
      <c r="I13" s="1136"/>
      <c r="J13" s="1136"/>
      <c r="K13" s="1136"/>
      <c r="L13" s="1137"/>
      <c r="M13" s="728"/>
    </row>
    <row r="15" spans="2:18" ht="26.25" customHeight="1" x14ac:dyDescent="0.25">
      <c r="B15" s="1" t="s">
        <v>1491</v>
      </c>
    </row>
  </sheetData>
  <mergeCells count="4">
    <mergeCell ref="D5:F5"/>
    <mergeCell ref="G5:L5"/>
    <mergeCell ref="G11:L11"/>
    <mergeCell ref="G13:L13"/>
  </mergeCells>
  <hyperlinks>
    <hyperlink ref="B2" location="Indhold!B43" display="Skema REM5 – Oplysninger om aflønning af medarbejdere, hvis arbejde har væsentlig indflydelse på instituttets risikoprofil (identificerede medarbejdere)" xr:uid="{3D43D8BA-FD0E-490F-BCB3-EC3E03915C26}"/>
  </hyperlink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&amp;CDA
Bilag XXXIII</oddHeader>
    <oddFooter>&amp;C&amp;P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04865-3463-40CD-8D31-3A4EF93FF7E6}">
  <dimension ref="B2:R16"/>
  <sheetViews>
    <sheetView showGridLines="0" zoomScaleNormal="100" workbookViewId="0">
      <selection activeCell="F1" sqref="F1"/>
    </sheetView>
  </sheetViews>
  <sheetFormatPr defaultRowHeight="15" x14ac:dyDescent="0.25"/>
  <cols>
    <col min="2" max="2" width="5.7109375" customWidth="1"/>
    <col min="3" max="3" width="47.140625" customWidth="1"/>
    <col min="4" max="8" width="17.7109375" customWidth="1"/>
    <col min="9" max="9" width="19.42578125" customWidth="1"/>
    <col min="10" max="11" width="17.7109375" customWidth="1"/>
  </cols>
  <sheetData>
    <row r="2" spans="2:18" ht="18.75" x14ac:dyDescent="0.3">
      <c r="B2" s="866" t="s">
        <v>1207</v>
      </c>
      <c r="D2" s="416"/>
      <c r="F2" s="416"/>
      <c r="G2" s="416"/>
      <c r="H2" s="416"/>
      <c r="I2" s="416"/>
      <c r="J2" s="416"/>
      <c r="K2" s="416"/>
      <c r="L2" s="416"/>
      <c r="M2" s="416"/>
      <c r="N2" s="416"/>
      <c r="O2" s="416"/>
      <c r="P2" s="416"/>
      <c r="Q2" s="416"/>
      <c r="R2" s="416"/>
    </row>
    <row r="3" spans="2:18" ht="15.75" x14ac:dyDescent="0.25">
      <c r="B3" s="386"/>
      <c r="C3" s="388"/>
      <c r="D3" s="389"/>
      <c r="E3" s="389"/>
      <c r="F3" s="389"/>
      <c r="G3" s="389"/>
      <c r="H3" s="389"/>
      <c r="I3" s="389"/>
      <c r="J3" s="389"/>
      <c r="K3" s="386"/>
    </row>
    <row r="4" spans="2:18" ht="15.75" x14ac:dyDescent="0.25">
      <c r="B4" s="386"/>
      <c r="C4" s="388"/>
      <c r="D4" s="389"/>
      <c r="E4" s="389"/>
      <c r="F4" s="389"/>
      <c r="G4" s="389"/>
      <c r="H4" s="389"/>
      <c r="I4" s="389"/>
      <c r="J4" s="389"/>
      <c r="K4" s="386"/>
    </row>
    <row r="5" spans="2:18" x14ac:dyDescent="0.25">
      <c r="B5" s="740"/>
      <c r="C5" s="739"/>
      <c r="D5" s="1138" t="s">
        <v>1208</v>
      </c>
      <c r="E5" s="1138"/>
      <c r="F5" s="1138" t="s">
        <v>1209</v>
      </c>
      <c r="G5" s="1138"/>
      <c r="H5" s="1138" t="s">
        <v>1210</v>
      </c>
      <c r="I5" s="1138"/>
      <c r="J5" s="1138" t="s">
        <v>1211</v>
      </c>
      <c r="K5" s="1138"/>
    </row>
    <row r="6" spans="2:18" ht="90" x14ac:dyDescent="0.25">
      <c r="B6" s="746" t="s">
        <v>1423</v>
      </c>
      <c r="C6" s="740"/>
      <c r="D6" s="745"/>
      <c r="E6" s="742" t="s">
        <v>1212</v>
      </c>
      <c r="F6" s="743"/>
      <c r="G6" s="742" t="s">
        <v>1212</v>
      </c>
      <c r="H6" s="743"/>
      <c r="I6" s="742" t="s">
        <v>1213</v>
      </c>
      <c r="J6" s="743"/>
      <c r="K6" s="742" t="s">
        <v>1213</v>
      </c>
    </row>
    <row r="7" spans="2:18" x14ac:dyDescent="0.25">
      <c r="B7" s="740"/>
      <c r="C7" s="741"/>
      <c r="D7" s="744" t="s">
        <v>343</v>
      </c>
      <c r="E7" s="744" t="s">
        <v>585</v>
      </c>
      <c r="F7" s="744" t="s">
        <v>587</v>
      </c>
      <c r="G7" s="744" t="s">
        <v>589</v>
      </c>
      <c r="H7" s="744" t="s">
        <v>591</v>
      </c>
      <c r="I7" s="744" t="s">
        <v>595</v>
      </c>
      <c r="J7" s="744" t="s">
        <v>597</v>
      </c>
      <c r="K7" s="744" t="s">
        <v>599</v>
      </c>
    </row>
    <row r="8" spans="2:18" x14ac:dyDescent="0.25">
      <c r="B8" s="747" t="s">
        <v>343</v>
      </c>
      <c r="C8" s="748" t="s">
        <v>1214</v>
      </c>
      <c r="D8" s="749">
        <v>0</v>
      </c>
      <c r="E8" s="749">
        <v>0</v>
      </c>
      <c r="F8" s="750"/>
      <c r="G8" s="750"/>
      <c r="H8" s="749">
        <f>9800245000/1000</f>
        <v>9800245</v>
      </c>
      <c r="I8" s="749">
        <f>3406675000/1000</f>
        <v>3406675</v>
      </c>
      <c r="J8" s="751"/>
      <c r="K8" s="750"/>
    </row>
    <row r="9" spans="2:18" x14ac:dyDescent="0.25">
      <c r="B9" s="752" t="s">
        <v>585</v>
      </c>
      <c r="C9" s="753" t="s">
        <v>949</v>
      </c>
      <c r="D9" s="754">
        <v>0</v>
      </c>
      <c r="E9" s="754">
        <v>0</v>
      </c>
      <c r="F9" s="754">
        <v>0</v>
      </c>
      <c r="G9" s="754">
        <v>0</v>
      </c>
      <c r="H9" s="754">
        <f>384959000/1000</f>
        <v>384959</v>
      </c>
      <c r="I9" s="754">
        <f>28477000/1000</f>
        <v>28477</v>
      </c>
      <c r="J9" s="755">
        <f>384959000/1000</f>
        <v>384959</v>
      </c>
      <c r="K9" s="754">
        <f>28477000/1000</f>
        <v>28477</v>
      </c>
    </row>
    <row r="10" spans="2:18" x14ac:dyDescent="0.25">
      <c r="B10" s="752" t="s">
        <v>587</v>
      </c>
      <c r="C10" s="753" t="s">
        <v>598</v>
      </c>
      <c r="D10" s="754">
        <v>0</v>
      </c>
      <c r="E10" s="754">
        <v>0</v>
      </c>
      <c r="F10" s="754">
        <v>0</v>
      </c>
      <c r="G10" s="754">
        <v>0</v>
      </c>
      <c r="H10" s="754">
        <f>3378198000/1000</f>
        <v>3378198</v>
      </c>
      <c r="I10" s="754">
        <f>3378198000/1000</f>
        <v>3378198</v>
      </c>
      <c r="J10" s="754">
        <f t="shared" ref="J10:K10" si="0">3378198000/1000</f>
        <v>3378198</v>
      </c>
      <c r="K10" s="754">
        <f t="shared" si="0"/>
        <v>3378198</v>
      </c>
    </row>
    <row r="11" spans="2:18" ht="30" x14ac:dyDescent="0.25">
      <c r="B11" s="752" t="s">
        <v>589</v>
      </c>
      <c r="C11" s="756" t="s">
        <v>1215</v>
      </c>
      <c r="D11" s="754">
        <v>0</v>
      </c>
      <c r="E11" s="754">
        <v>0</v>
      </c>
      <c r="F11" s="754">
        <v>0</v>
      </c>
      <c r="G11" s="754">
        <v>0</v>
      </c>
      <c r="H11" s="754">
        <v>0</v>
      </c>
      <c r="I11" s="754">
        <v>0</v>
      </c>
      <c r="J11" s="754">
        <v>0</v>
      </c>
      <c r="K11" s="754">
        <v>0</v>
      </c>
    </row>
    <row r="12" spans="2:18" x14ac:dyDescent="0.25">
      <c r="B12" s="752" t="s">
        <v>591</v>
      </c>
      <c r="C12" s="756" t="s">
        <v>1216</v>
      </c>
      <c r="D12" s="754">
        <v>0</v>
      </c>
      <c r="E12" s="754">
        <v>0</v>
      </c>
      <c r="F12" s="754">
        <v>0</v>
      </c>
      <c r="G12" s="754">
        <v>0</v>
      </c>
      <c r="H12" s="754">
        <v>0</v>
      </c>
      <c r="I12" s="754">
        <v>0</v>
      </c>
      <c r="J12" s="754">
        <v>0</v>
      </c>
      <c r="K12" s="754">
        <v>0</v>
      </c>
    </row>
    <row r="13" spans="2:18" x14ac:dyDescent="0.25">
      <c r="B13" s="752" t="s">
        <v>593</v>
      </c>
      <c r="C13" s="756" t="s">
        <v>1217</v>
      </c>
      <c r="D13" s="754">
        <v>0</v>
      </c>
      <c r="E13" s="754">
        <v>0</v>
      </c>
      <c r="F13" s="754">
        <v>0</v>
      </c>
      <c r="G13" s="754">
        <v>0</v>
      </c>
      <c r="H13" s="754">
        <v>0</v>
      </c>
      <c r="I13" s="754">
        <v>0</v>
      </c>
      <c r="J13" s="754">
        <v>0</v>
      </c>
      <c r="K13" s="754">
        <v>0</v>
      </c>
    </row>
    <row r="14" spans="2:18" x14ac:dyDescent="0.25">
      <c r="B14" s="752" t="s">
        <v>595</v>
      </c>
      <c r="C14" s="756" t="s">
        <v>1218</v>
      </c>
      <c r="D14" s="754">
        <v>0</v>
      </c>
      <c r="E14" s="754">
        <v>0</v>
      </c>
      <c r="F14" s="754">
        <v>0</v>
      </c>
      <c r="G14" s="754">
        <v>0</v>
      </c>
      <c r="H14" s="754">
        <f>3378198000/1000</f>
        <v>3378198</v>
      </c>
      <c r="I14" s="754">
        <f>3378198000/1000</f>
        <v>3378198</v>
      </c>
      <c r="J14" s="754">
        <f t="shared" ref="J14:K14" si="1">3378198000/1000</f>
        <v>3378198</v>
      </c>
      <c r="K14" s="754">
        <f t="shared" si="1"/>
        <v>3378198</v>
      </c>
    </row>
    <row r="15" spans="2:18" x14ac:dyDescent="0.25">
      <c r="B15" s="752" t="s">
        <v>597</v>
      </c>
      <c r="C15" s="756" t="s">
        <v>1219</v>
      </c>
      <c r="D15" s="754">
        <v>0</v>
      </c>
      <c r="E15" s="754">
        <v>0</v>
      </c>
      <c r="F15" s="754">
        <v>0</v>
      </c>
      <c r="G15" s="754">
        <v>0</v>
      </c>
      <c r="H15" s="754">
        <v>0</v>
      </c>
      <c r="I15" s="754">
        <v>0</v>
      </c>
      <c r="J15" s="754">
        <v>0</v>
      </c>
      <c r="K15" s="754">
        <v>0</v>
      </c>
    </row>
    <row r="16" spans="2:18" x14ac:dyDescent="0.25">
      <c r="B16" s="752" t="s">
        <v>601</v>
      </c>
      <c r="C16" s="753" t="s">
        <v>1220</v>
      </c>
      <c r="D16" s="754">
        <v>0</v>
      </c>
      <c r="E16" s="754">
        <v>0</v>
      </c>
      <c r="F16" s="757"/>
      <c r="G16" s="757"/>
      <c r="H16" s="754">
        <f>(849212000+4106151000+1081725000)/1000</f>
        <v>6037088</v>
      </c>
      <c r="I16" s="754">
        <v>0</v>
      </c>
      <c r="J16" s="758"/>
      <c r="K16" s="757"/>
    </row>
  </sheetData>
  <mergeCells count="4">
    <mergeCell ref="D5:E5"/>
    <mergeCell ref="F5:G5"/>
    <mergeCell ref="H5:I5"/>
    <mergeCell ref="J5:K5"/>
  </mergeCells>
  <conditionalFormatting sqref="D8:K16">
    <cfRule type="cellIs" dxfId="22" priority="1" stopIfTrue="1" operator="lessThan">
      <formula>0</formula>
    </cfRule>
  </conditionalFormatting>
  <hyperlinks>
    <hyperlink ref="B2" location="Indhold!B45" display="Skema EU AE1 - Behæftede og ubehæftede aktiver" xr:uid="{2785D991-9A2F-4008-9DEA-82E8487AB11D}"/>
  </hyperlinks>
  <pageMargins left="0.70866141732283472" right="0.70866141732283472" top="0.74803149606299213" bottom="0.74803149606299213" header="0.31496062992125984" footer="0.31496062992125984"/>
  <pageSetup paperSize="9" scale="65" orientation="landscape" r:id="rId1"/>
  <headerFooter>
    <oddHeader>&amp;CDA
Bilag XXXV</oddHeader>
    <oddFooter>&amp;C&amp;P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22E8B-B6B8-49E7-B05C-F8FBFD3826CB}">
  <dimension ref="A1:X304"/>
  <sheetViews>
    <sheetView showGridLines="0" zoomScaleNormal="100" zoomScalePageLayoutView="85" workbookViewId="0">
      <selection activeCell="F1" sqref="F1"/>
    </sheetView>
  </sheetViews>
  <sheetFormatPr defaultColWidth="8.85546875" defaultRowHeight="11.25" x14ac:dyDescent="0.25"/>
  <cols>
    <col min="1" max="1" width="1.85546875" style="871" customWidth="1"/>
    <col min="2" max="2" width="7.85546875" style="871" customWidth="1"/>
    <col min="3" max="3" width="78.85546875" style="871" bestFit="1" customWidth="1"/>
    <col min="4" max="4" width="32" style="875" bestFit="1" customWidth="1"/>
    <col min="5" max="16384" width="8.85546875" style="875"/>
  </cols>
  <sheetData>
    <row r="1" spans="1:24" s="871" customFormat="1" ht="12" customHeight="1" x14ac:dyDescent="0.25"/>
    <row r="2" spans="1:24" s="871" customFormat="1" ht="15" x14ac:dyDescent="0.25">
      <c r="B2" s="866" t="s">
        <v>1572</v>
      </c>
      <c r="C2" s="873"/>
    </row>
    <row r="3" spans="1:24" s="871" customFormat="1" x14ac:dyDescent="0.25">
      <c r="B3" s="872"/>
      <c r="C3" s="873"/>
    </row>
    <row r="4" spans="1:24" s="874" customFormat="1" ht="51" customHeight="1" x14ac:dyDescent="0.25">
      <c r="B4" s="1141"/>
      <c r="C4" s="1142"/>
      <c r="D4" s="1143" t="s">
        <v>1513</v>
      </c>
      <c r="E4" s="871"/>
      <c r="F4" s="871"/>
      <c r="G4" s="871"/>
      <c r="H4" s="871"/>
      <c r="I4" s="871"/>
      <c r="J4" s="871"/>
      <c r="K4" s="871"/>
      <c r="L4" s="871"/>
      <c r="M4" s="871"/>
      <c r="N4" s="871"/>
      <c r="O4" s="871"/>
      <c r="P4" s="871"/>
      <c r="Q4" s="871"/>
      <c r="R4" s="871"/>
      <c r="S4" s="871"/>
      <c r="T4" s="871"/>
      <c r="U4" s="871"/>
      <c r="V4" s="871"/>
      <c r="W4" s="871"/>
      <c r="X4" s="871"/>
    </row>
    <row r="5" spans="1:24" s="877" customFormat="1" ht="16.5" customHeight="1" x14ac:dyDescent="0.25">
      <c r="A5" s="876"/>
      <c r="B5" s="718" t="s">
        <v>1423</v>
      </c>
      <c r="C5" s="719"/>
      <c r="D5" s="1144"/>
    </row>
    <row r="6" spans="1:24" ht="20.100000000000001" customHeight="1" x14ac:dyDescent="0.25">
      <c r="B6" s="1139" t="s">
        <v>1524</v>
      </c>
      <c r="C6" s="1140"/>
      <c r="D6" s="878"/>
    </row>
    <row r="7" spans="1:24" ht="20.100000000000001" customHeight="1" x14ac:dyDescent="0.25">
      <c r="B7" s="889" t="s">
        <v>134</v>
      </c>
      <c r="C7" s="889" t="s">
        <v>1514</v>
      </c>
      <c r="D7" s="755">
        <f>1237984620/1000</f>
        <v>1237984.6200000001</v>
      </c>
    </row>
    <row r="8" spans="1:24" ht="20.100000000000001" customHeight="1" x14ac:dyDescent="0.25">
      <c r="B8" s="889" t="s">
        <v>1500</v>
      </c>
      <c r="C8" s="889" t="s">
        <v>1515</v>
      </c>
      <c r="D8" s="755">
        <f>1237984620/1000</f>
        <v>1237984.6200000001</v>
      </c>
    </row>
    <row r="9" spans="1:24" ht="20.100000000000001" customHeight="1" x14ac:dyDescent="0.25">
      <c r="B9" s="889" t="s">
        <v>1501</v>
      </c>
      <c r="C9" s="889" t="s">
        <v>1516</v>
      </c>
      <c r="D9" s="755">
        <f>5136453489/1000</f>
        <v>5136453.4890000001</v>
      </c>
    </row>
    <row r="10" spans="1:24" ht="20.100000000000001" customHeight="1" x14ac:dyDescent="0.25">
      <c r="B10" s="889" t="s">
        <v>1502</v>
      </c>
      <c r="C10" s="889" t="s">
        <v>1517</v>
      </c>
      <c r="D10" s="890">
        <f>+D8/D9</f>
        <v>0.24101933808048936</v>
      </c>
    </row>
    <row r="11" spans="1:24" ht="20.100000000000001" customHeight="1" x14ac:dyDescent="0.25">
      <c r="B11" s="889" t="s">
        <v>205</v>
      </c>
      <c r="C11" s="889" t="s">
        <v>1515</v>
      </c>
      <c r="D11" s="890">
        <f>+D8/D9</f>
        <v>0.24101933808048936</v>
      </c>
    </row>
    <row r="12" spans="1:24" ht="20.100000000000001" customHeight="1" x14ac:dyDescent="0.25">
      <c r="B12" s="889" t="s">
        <v>1503</v>
      </c>
      <c r="C12" s="889" t="s">
        <v>1518</v>
      </c>
      <c r="D12" s="755">
        <f>10850676000/1000</f>
        <v>10850676</v>
      </c>
    </row>
    <row r="13" spans="1:24" ht="22.5" customHeight="1" x14ac:dyDescent="0.25">
      <c r="B13" s="889" t="s">
        <v>1504</v>
      </c>
      <c r="C13" s="889" t="s">
        <v>1519</v>
      </c>
      <c r="D13" s="890">
        <f>+D7/D12</f>
        <v>0.11409285651880123</v>
      </c>
    </row>
    <row r="14" spans="1:24" ht="20.100000000000001" customHeight="1" x14ac:dyDescent="0.25">
      <c r="B14" s="889" t="s">
        <v>209</v>
      </c>
      <c r="C14" s="889" t="s">
        <v>1520</v>
      </c>
      <c r="D14" s="890">
        <f>+D8/D12</f>
        <v>0.11409285651880123</v>
      </c>
    </row>
    <row r="15" spans="1:24" ht="30.75" customHeight="1" x14ac:dyDescent="0.25">
      <c r="B15" s="889" t="s">
        <v>1505</v>
      </c>
      <c r="C15" s="889" t="s">
        <v>1521</v>
      </c>
      <c r="D15" s="888"/>
    </row>
    <row r="16" spans="1:24" ht="50.25" customHeight="1" x14ac:dyDescent="0.25">
      <c r="B16" s="889" t="s">
        <v>1506</v>
      </c>
      <c r="C16" s="889" t="s">
        <v>1522</v>
      </c>
      <c r="D16" s="888"/>
    </row>
    <row r="17" spans="2:4" ht="75" x14ac:dyDescent="0.25">
      <c r="B17" s="889" t="s">
        <v>1507</v>
      </c>
      <c r="C17" s="889" t="s">
        <v>1523</v>
      </c>
      <c r="D17" s="888"/>
    </row>
    <row r="18" spans="2:4" ht="20.100000000000001" customHeight="1" x14ac:dyDescent="0.25">
      <c r="B18" s="1139" t="s">
        <v>1513</v>
      </c>
      <c r="C18" s="1140"/>
      <c r="D18" s="878"/>
    </row>
    <row r="19" spans="2:4" ht="20.100000000000001" customHeight="1" x14ac:dyDescent="0.25">
      <c r="B19" s="889" t="s">
        <v>475</v>
      </c>
      <c r="C19" s="889" t="s">
        <v>1525</v>
      </c>
      <c r="D19" s="890">
        <f>+D10</f>
        <v>0.24101933808048936</v>
      </c>
    </row>
    <row r="20" spans="2:4" ht="20.100000000000001" customHeight="1" x14ac:dyDescent="0.25">
      <c r="B20" s="889" t="s">
        <v>477</v>
      </c>
      <c r="C20" s="889" t="s">
        <v>1526</v>
      </c>
      <c r="D20" s="890">
        <f>+D11</f>
        <v>0.24101933808048936</v>
      </c>
    </row>
    <row r="21" spans="2:4" ht="20.100000000000001" customHeight="1" x14ac:dyDescent="0.25">
      <c r="B21" s="889" t="s">
        <v>479</v>
      </c>
      <c r="C21" s="889" t="s">
        <v>1527</v>
      </c>
      <c r="D21" s="890">
        <f>+D13</f>
        <v>0.11409285651880123</v>
      </c>
    </row>
    <row r="22" spans="2:4" ht="20.100000000000001" customHeight="1" x14ac:dyDescent="0.25">
      <c r="B22" s="889" t="s">
        <v>481</v>
      </c>
      <c r="C22" s="889" t="s">
        <v>1526</v>
      </c>
      <c r="D22" s="890">
        <f>+D14</f>
        <v>0.11409285651880123</v>
      </c>
    </row>
    <row r="23" spans="2:4" s="871" customFormat="1" x14ac:dyDescent="0.25"/>
    <row r="24" spans="2:4" s="871" customFormat="1" x14ac:dyDescent="0.25"/>
    <row r="25" spans="2:4" s="871" customFormat="1" x14ac:dyDescent="0.25"/>
    <row r="26" spans="2:4" s="871" customFormat="1" x14ac:dyDescent="0.25"/>
    <row r="27" spans="2:4" s="871" customFormat="1" x14ac:dyDescent="0.25"/>
    <row r="28" spans="2:4" s="871" customFormat="1" x14ac:dyDescent="0.25"/>
    <row r="29" spans="2:4" s="871" customFormat="1" x14ac:dyDescent="0.25"/>
    <row r="30" spans="2:4" s="871" customFormat="1" x14ac:dyDescent="0.25"/>
    <row r="31" spans="2:4" s="871" customFormat="1" x14ac:dyDescent="0.25"/>
    <row r="32" spans="2:4" s="871" customFormat="1" x14ac:dyDescent="0.25"/>
    <row r="33" s="871" customFormat="1" x14ac:dyDescent="0.25"/>
    <row r="34" s="871" customFormat="1" x14ac:dyDescent="0.25"/>
    <row r="35" s="871" customFormat="1" x14ac:dyDescent="0.25"/>
    <row r="36" s="871" customFormat="1" x14ac:dyDescent="0.25"/>
    <row r="37" s="871" customFormat="1" x14ac:dyDescent="0.25"/>
    <row r="38" s="871" customFormat="1" x14ac:dyDescent="0.25"/>
    <row r="39" s="871" customFormat="1" x14ac:dyDescent="0.25"/>
    <row r="40" s="871" customFormat="1" x14ac:dyDescent="0.25"/>
    <row r="41" s="871" customFormat="1" x14ac:dyDescent="0.25"/>
    <row r="42" s="871" customFormat="1" x14ac:dyDescent="0.25"/>
    <row r="43" s="871" customFormat="1" x14ac:dyDescent="0.25"/>
    <row r="44" s="871" customFormat="1" x14ac:dyDescent="0.25"/>
    <row r="45" s="871" customFormat="1" x14ac:dyDescent="0.25"/>
    <row r="46" s="871" customFormat="1" x14ac:dyDescent="0.25"/>
    <row r="47" s="871" customFormat="1" x14ac:dyDescent="0.25"/>
    <row r="48" s="871" customFormat="1" x14ac:dyDescent="0.25"/>
    <row r="49" s="871" customFormat="1" x14ac:dyDescent="0.25"/>
    <row r="50" s="871" customFormat="1" x14ac:dyDescent="0.25"/>
    <row r="51" s="871" customFormat="1" x14ac:dyDescent="0.25"/>
    <row r="52" s="871" customFormat="1" x14ac:dyDescent="0.25"/>
    <row r="53" s="871" customFormat="1" x14ac:dyDescent="0.25"/>
    <row r="54" s="871" customFormat="1" x14ac:dyDescent="0.25"/>
    <row r="55" s="871" customFormat="1" x14ac:dyDescent="0.25"/>
    <row r="56" s="871" customFormat="1" x14ac:dyDescent="0.25"/>
    <row r="57" s="871" customFormat="1" x14ac:dyDescent="0.25"/>
    <row r="58" s="871" customFormat="1" x14ac:dyDescent="0.25"/>
    <row r="59" s="871" customFormat="1" x14ac:dyDescent="0.25"/>
    <row r="60" s="871" customFormat="1" x14ac:dyDescent="0.25"/>
    <row r="61" s="871" customFormat="1" x14ac:dyDescent="0.25"/>
    <row r="62" s="871" customFormat="1" x14ac:dyDescent="0.25"/>
    <row r="63" s="871" customFormat="1" x14ac:dyDescent="0.25"/>
    <row r="64" s="871" customFormat="1" x14ac:dyDescent="0.25"/>
    <row r="65" s="871" customFormat="1" x14ac:dyDescent="0.25"/>
    <row r="66" s="871" customFormat="1" x14ac:dyDescent="0.25"/>
    <row r="67" s="871" customFormat="1" x14ac:dyDescent="0.25"/>
    <row r="68" s="871" customFormat="1" x14ac:dyDescent="0.25"/>
    <row r="69" s="871" customFormat="1" x14ac:dyDescent="0.25"/>
    <row r="70" s="871" customFormat="1" x14ac:dyDescent="0.25"/>
    <row r="71" s="871" customFormat="1" x14ac:dyDescent="0.25"/>
    <row r="72" s="871" customFormat="1" x14ac:dyDescent="0.25"/>
    <row r="73" s="871" customFormat="1" x14ac:dyDescent="0.25"/>
    <row r="74" s="871" customFormat="1" x14ac:dyDescent="0.25"/>
    <row r="75" s="871" customFormat="1" x14ac:dyDescent="0.25"/>
    <row r="76" s="871" customFormat="1" x14ac:dyDescent="0.25"/>
    <row r="77" s="871" customFormat="1" x14ac:dyDescent="0.25"/>
    <row r="78" s="871" customFormat="1" x14ac:dyDescent="0.25"/>
    <row r="79" s="871" customFormat="1" x14ac:dyDescent="0.25"/>
    <row r="80" s="871" customFormat="1" x14ac:dyDescent="0.25"/>
    <row r="81" s="871" customFormat="1" x14ac:dyDescent="0.25"/>
    <row r="82" s="871" customFormat="1" x14ac:dyDescent="0.25"/>
    <row r="83" s="871" customFormat="1" x14ac:dyDescent="0.25"/>
    <row r="84" s="871" customFormat="1" x14ac:dyDescent="0.25"/>
    <row r="85" s="871" customFormat="1" x14ac:dyDescent="0.25"/>
    <row r="86" s="871" customFormat="1" x14ac:dyDescent="0.25"/>
    <row r="87" s="871" customFormat="1" x14ac:dyDescent="0.25"/>
    <row r="88" s="871" customFormat="1" x14ac:dyDescent="0.25"/>
    <row r="89" s="871" customFormat="1" x14ac:dyDescent="0.25"/>
    <row r="90" s="871" customFormat="1" x14ac:dyDescent="0.25"/>
    <row r="91" s="871" customFormat="1" x14ac:dyDescent="0.25"/>
    <row r="92" s="871" customFormat="1" x14ac:dyDescent="0.25"/>
    <row r="93" s="871" customFormat="1" x14ac:dyDescent="0.25"/>
    <row r="94" s="871" customFormat="1" x14ac:dyDescent="0.25"/>
    <row r="95" s="871" customFormat="1" x14ac:dyDescent="0.25"/>
    <row r="96" s="871" customFormat="1" x14ac:dyDescent="0.25"/>
    <row r="97" s="871" customFormat="1" x14ac:dyDescent="0.25"/>
    <row r="98" s="871" customFormat="1" x14ac:dyDescent="0.25"/>
    <row r="99" s="871" customFormat="1" x14ac:dyDescent="0.25"/>
    <row r="100" s="871" customFormat="1" x14ac:dyDescent="0.25"/>
    <row r="101" s="871" customFormat="1" x14ac:dyDescent="0.25"/>
    <row r="102" s="871" customFormat="1" x14ac:dyDescent="0.25"/>
    <row r="103" s="871" customFormat="1" x14ac:dyDescent="0.25"/>
    <row r="104" s="871" customFormat="1" x14ac:dyDescent="0.25"/>
    <row r="105" s="871" customFormat="1" x14ac:dyDescent="0.25"/>
    <row r="106" s="871" customFormat="1" x14ac:dyDescent="0.25"/>
    <row r="107" s="871" customFormat="1" x14ac:dyDescent="0.25"/>
    <row r="108" s="871" customFormat="1" x14ac:dyDescent="0.25"/>
    <row r="109" s="871" customFormat="1" x14ac:dyDescent="0.25"/>
    <row r="110" s="871" customFormat="1" x14ac:dyDescent="0.25"/>
    <row r="111" s="871" customFormat="1" x14ac:dyDescent="0.25"/>
    <row r="112" s="871" customFormat="1" x14ac:dyDescent="0.25"/>
    <row r="113" s="871" customFormat="1" x14ac:dyDescent="0.25"/>
    <row r="114" s="871" customFormat="1" x14ac:dyDescent="0.25"/>
    <row r="115" s="871" customFormat="1" x14ac:dyDescent="0.25"/>
    <row r="116" s="871" customFormat="1" x14ac:dyDescent="0.25"/>
    <row r="117" s="871" customFormat="1" x14ac:dyDescent="0.25"/>
    <row r="118" s="871" customFormat="1" x14ac:dyDescent="0.25"/>
    <row r="119" s="871" customFormat="1" x14ac:dyDescent="0.25"/>
    <row r="120" s="871" customFormat="1" x14ac:dyDescent="0.25"/>
    <row r="121" s="871" customFormat="1" x14ac:dyDescent="0.25"/>
    <row r="122" s="871" customFormat="1" x14ac:dyDescent="0.25"/>
    <row r="123" s="871" customFormat="1" x14ac:dyDescent="0.25"/>
    <row r="124" s="871" customFormat="1" x14ac:dyDescent="0.25"/>
    <row r="125" s="871" customFormat="1" x14ac:dyDescent="0.25"/>
    <row r="126" s="871" customFormat="1" x14ac:dyDescent="0.25"/>
    <row r="127" s="871" customFormat="1" x14ac:dyDescent="0.25"/>
    <row r="128" s="871" customFormat="1" x14ac:dyDescent="0.25"/>
    <row r="129" s="871" customFormat="1" x14ac:dyDescent="0.25"/>
    <row r="130" s="871" customFormat="1" x14ac:dyDescent="0.25"/>
    <row r="131" s="871" customFormat="1" x14ac:dyDescent="0.25"/>
    <row r="132" s="871" customFormat="1" x14ac:dyDescent="0.25"/>
    <row r="133" s="871" customFormat="1" x14ac:dyDescent="0.25"/>
    <row r="134" s="871" customFormat="1" x14ac:dyDescent="0.25"/>
    <row r="135" s="871" customFormat="1" x14ac:dyDescent="0.25"/>
    <row r="136" s="871" customFormat="1" x14ac:dyDescent="0.25"/>
    <row r="137" s="871" customFormat="1" x14ac:dyDescent="0.25"/>
    <row r="138" s="871" customFormat="1" x14ac:dyDescent="0.25"/>
    <row r="139" s="871" customFormat="1" x14ac:dyDescent="0.25"/>
    <row r="140" s="871" customFormat="1" x14ac:dyDescent="0.25"/>
    <row r="141" s="871" customFormat="1" x14ac:dyDescent="0.25"/>
    <row r="142" s="871" customFormat="1" x14ac:dyDescent="0.25"/>
    <row r="143" s="871" customFormat="1" x14ac:dyDescent="0.25"/>
    <row r="144" s="871" customFormat="1" x14ac:dyDescent="0.25"/>
    <row r="145" s="871" customFormat="1" x14ac:dyDescent="0.25"/>
    <row r="146" s="871" customFormat="1" x14ac:dyDescent="0.25"/>
    <row r="147" s="871" customFormat="1" x14ac:dyDescent="0.25"/>
    <row r="148" s="871" customFormat="1" x14ac:dyDescent="0.25"/>
    <row r="149" s="871" customFormat="1" x14ac:dyDescent="0.25"/>
    <row r="150" s="871" customFormat="1" x14ac:dyDescent="0.25"/>
    <row r="151" s="871" customFormat="1" x14ac:dyDescent="0.25"/>
    <row r="152" s="871" customFormat="1" x14ac:dyDescent="0.25"/>
    <row r="153" s="871" customFormat="1" x14ac:dyDescent="0.25"/>
    <row r="154" s="871" customFormat="1" x14ac:dyDescent="0.25"/>
    <row r="155" s="871" customFormat="1" x14ac:dyDescent="0.25"/>
    <row r="156" s="871" customFormat="1" x14ac:dyDescent="0.25"/>
    <row r="157" s="871" customFormat="1" x14ac:dyDescent="0.25"/>
    <row r="158" s="871" customFormat="1" x14ac:dyDescent="0.25"/>
    <row r="159" s="871" customFormat="1" x14ac:dyDescent="0.25"/>
    <row r="160" s="871" customFormat="1" x14ac:dyDescent="0.25"/>
    <row r="161" s="871" customFormat="1" x14ac:dyDescent="0.25"/>
    <row r="162" s="871" customFormat="1" x14ac:dyDescent="0.25"/>
    <row r="163" s="871" customFormat="1" x14ac:dyDescent="0.25"/>
    <row r="164" s="871" customFormat="1" x14ac:dyDescent="0.25"/>
    <row r="165" s="871" customFormat="1" x14ac:dyDescent="0.25"/>
    <row r="166" s="871" customFormat="1" x14ac:dyDescent="0.25"/>
    <row r="167" s="871" customFormat="1" x14ac:dyDescent="0.25"/>
    <row r="168" s="871" customFormat="1" x14ac:dyDescent="0.25"/>
    <row r="169" s="871" customFormat="1" x14ac:dyDescent="0.25"/>
    <row r="170" s="871" customFormat="1" x14ac:dyDescent="0.25"/>
    <row r="171" s="871" customFormat="1" x14ac:dyDescent="0.25"/>
    <row r="172" s="871" customFormat="1" x14ac:dyDescent="0.25"/>
    <row r="173" s="871" customFormat="1" x14ac:dyDescent="0.25"/>
    <row r="174" s="871" customFormat="1" x14ac:dyDescent="0.25"/>
    <row r="175" s="871" customFormat="1" x14ac:dyDescent="0.25"/>
    <row r="176" s="871" customFormat="1" x14ac:dyDescent="0.25"/>
    <row r="177" s="871" customFormat="1" x14ac:dyDescent="0.25"/>
    <row r="178" s="871" customFormat="1" x14ac:dyDescent="0.25"/>
    <row r="179" s="871" customFormat="1" x14ac:dyDescent="0.25"/>
    <row r="180" s="871" customFormat="1" x14ac:dyDescent="0.25"/>
    <row r="181" s="871" customFormat="1" x14ac:dyDescent="0.25"/>
    <row r="182" s="871" customFormat="1" x14ac:dyDescent="0.25"/>
    <row r="183" s="871" customFormat="1" x14ac:dyDescent="0.25"/>
    <row r="184" s="871" customFormat="1" x14ac:dyDescent="0.25"/>
    <row r="185" s="871" customFormat="1" x14ac:dyDescent="0.25"/>
    <row r="186" s="871" customFormat="1" x14ac:dyDescent="0.25"/>
    <row r="187" s="871" customFormat="1" x14ac:dyDescent="0.25"/>
    <row r="188" s="871" customFormat="1" x14ac:dyDescent="0.25"/>
    <row r="189" s="871" customFormat="1" x14ac:dyDescent="0.25"/>
    <row r="190" s="871" customFormat="1" x14ac:dyDescent="0.25"/>
    <row r="191" s="871" customFormat="1" x14ac:dyDescent="0.25"/>
    <row r="192" s="871" customFormat="1" x14ac:dyDescent="0.25"/>
    <row r="193" s="871" customFormat="1" x14ac:dyDescent="0.25"/>
    <row r="194" s="871" customFormat="1" x14ac:dyDescent="0.25"/>
    <row r="195" s="871" customFormat="1" x14ac:dyDescent="0.25"/>
    <row r="196" s="871" customFormat="1" x14ac:dyDescent="0.25"/>
    <row r="197" s="871" customFormat="1" x14ac:dyDescent="0.25"/>
    <row r="198" s="871" customFormat="1" x14ac:dyDescent="0.25"/>
    <row r="199" s="871" customFormat="1" x14ac:dyDescent="0.25"/>
    <row r="200" s="871" customFormat="1" x14ac:dyDescent="0.25"/>
    <row r="201" s="871" customFormat="1" x14ac:dyDescent="0.25"/>
    <row r="202" s="871" customFormat="1" x14ac:dyDescent="0.25"/>
    <row r="203" s="871" customFormat="1" x14ac:dyDescent="0.25"/>
    <row r="204" s="871" customFormat="1" x14ac:dyDescent="0.25"/>
    <row r="205" s="871" customFormat="1" x14ac:dyDescent="0.25"/>
    <row r="206" s="871" customFormat="1" x14ac:dyDescent="0.25"/>
    <row r="207" s="871" customFormat="1" x14ac:dyDescent="0.25"/>
    <row r="208" s="871" customFormat="1" x14ac:dyDescent="0.25"/>
    <row r="209" s="871" customFormat="1" x14ac:dyDescent="0.25"/>
    <row r="210" s="871" customFormat="1" x14ac:dyDescent="0.25"/>
    <row r="211" s="871" customFormat="1" x14ac:dyDescent="0.25"/>
    <row r="212" s="871" customFormat="1" x14ac:dyDescent="0.25"/>
    <row r="213" s="871" customFormat="1" x14ac:dyDescent="0.25"/>
    <row r="214" s="871" customFormat="1" x14ac:dyDescent="0.25"/>
    <row r="215" s="871" customFormat="1" x14ac:dyDescent="0.25"/>
    <row r="216" s="871" customFormat="1" x14ac:dyDescent="0.25"/>
    <row r="217" s="871" customFormat="1" x14ac:dyDescent="0.25"/>
    <row r="218" s="871" customFormat="1" x14ac:dyDescent="0.25"/>
    <row r="219" s="871" customFormat="1" x14ac:dyDescent="0.25"/>
    <row r="220" s="871" customFormat="1" x14ac:dyDescent="0.25"/>
    <row r="221" s="871" customFormat="1" x14ac:dyDescent="0.25"/>
    <row r="222" s="871" customFormat="1" x14ac:dyDescent="0.25"/>
    <row r="223" s="871" customFormat="1" x14ac:dyDescent="0.25"/>
    <row r="224" s="871" customFormat="1" x14ac:dyDescent="0.25"/>
    <row r="225" s="871" customFormat="1" x14ac:dyDescent="0.25"/>
    <row r="226" s="871" customFormat="1" x14ac:dyDescent="0.25"/>
    <row r="227" s="871" customFormat="1" x14ac:dyDescent="0.25"/>
    <row r="228" s="871" customFormat="1" x14ac:dyDescent="0.25"/>
    <row r="229" s="871" customFormat="1" x14ac:dyDescent="0.25"/>
    <row r="230" s="871" customFormat="1" x14ac:dyDescent="0.25"/>
    <row r="231" s="871" customFormat="1" x14ac:dyDescent="0.25"/>
    <row r="232" s="871" customFormat="1" x14ac:dyDescent="0.25"/>
    <row r="233" s="871" customFormat="1" x14ac:dyDescent="0.25"/>
    <row r="234" s="871" customFormat="1" x14ac:dyDescent="0.25"/>
    <row r="235" s="871" customFormat="1" x14ac:dyDescent="0.25"/>
    <row r="236" s="871" customFormat="1" x14ac:dyDescent="0.25"/>
    <row r="237" s="871" customFormat="1" x14ac:dyDescent="0.25"/>
    <row r="238" s="871" customFormat="1" x14ac:dyDescent="0.25"/>
    <row r="239" s="871" customFormat="1" x14ac:dyDescent="0.25"/>
    <row r="240" s="871" customFormat="1" x14ac:dyDescent="0.25"/>
    <row r="241" s="871" customFormat="1" x14ac:dyDescent="0.25"/>
    <row r="242" s="871" customFormat="1" x14ac:dyDescent="0.25"/>
    <row r="243" s="871" customFormat="1" x14ac:dyDescent="0.25"/>
    <row r="244" s="871" customFormat="1" x14ac:dyDescent="0.25"/>
    <row r="245" s="871" customFormat="1" x14ac:dyDescent="0.25"/>
    <row r="246" s="871" customFormat="1" x14ac:dyDescent="0.25"/>
    <row r="247" s="871" customFormat="1" x14ac:dyDescent="0.25"/>
    <row r="248" s="871" customFormat="1" x14ac:dyDescent="0.25"/>
    <row r="249" s="871" customFormat="1" x14ac:dyDescent="0.25"/>
    <row r="250" s="871" customFormat="1" x14ac:dyDescent="0.25"/>
    <row r="251" s="871" customFormat="1" x14ac:dyDescent="0.25"/>
    <row r="252" s="871" customFormat="1" x14ac:dyDescent="0.25"/>
    <row r="253" s="871" customFormat="1" x14ac:dyDescent="0.25"/>
    <row r="254" s="871" customFormat="1" x14ac:dyDescent="0.25"/>
    <row r="255" s="871" customFormat="1" x14ac:dyDescent="0.25"/>
    <row r="256" s="871" customFormat="1" x14ac:dyDescent="0.25"/>
    <row r="257" s="871" customFormat="1" x14ac:dyDescent="0.25"/>
    <row r="258" s="871" customFormat="1" x14ac:dyDescent="0.25"/>
    <row r="259" s="871" customFormat="1" x14ac:dyDescent="0.25"/>
    <row r="260" s="871" customFormat="1" x14ac:dyDescent="0.25"/>
    <row r="261" s="871" customFormat="1" x14ac:dyDescent="0.25"/>
    <row r="262" s="871" customFormat="1" x14ac:dyDescent="0.25"/>
    <row r="263" s="871" customFormat="1" x14ac:dyDescent="0.25"/>
    <row r="264" s="871" customFormat="1" x14ac:dyDescent="0.25"/>
    <row r="265" s="871" customFormat="1" x14ac:dyDescent="0.25"/>
    <row r="266" s="871" customFormat="1" x14ac:dyDescent="0.25"/>
    <row r="267" s="871" customFormat="1" x14ac:dyDescent="0.25"/>
    <row r="268" s="871" customFormat="1" x14ac:dyDescent="0.25"/>
    <row r="269" s="871" customFormat="1" x14ac:dyDescent="0.25"/>
    <row r="270" s="871" customFormat="1" x14ac:dyDescent="0.25"/>
    <row r="271" s="871" customFormat="1" x14ac:dyDescent="0.25"/>
    <row r="272" s="871" customFormat="1" x14ac:dyDescent="0.25"/>
    <row r="273" s="871" customFormat="1" x14ac:dyDescent="0.25"/>
    <row r="274" s="871" customFormat="1" x14ac:dyDescent="0.25"/>
    <row r="275" s="871" customFormat="1" x14ac:dyDescent="0.25"/>
    <row r="276" s="871" customFormat="1" x14ac:dyDescent="0.25"/>
    <row r="277" s="871" customFormat="1" x14ac:dyDescent="0.25"/>
    <row r="278" s="871" customFormat="1" x14ac:dyDescent="0.25"/>
    <row r="279" s="871" customFormat="1" x14ac:dyDescent="0.25"/>
    <row r="280" s="871" customFormat="1" x14ac:dyDescent="0.25"/>
    <row r="281" s="871" customFormat="1" x14ac:dyDescent="0.25"/>
    <row r="282" s="871" customFormat="1" x14ac:dyDescent="0.25"/>
    <row r="283" s="871" customFormat="1" x14ac:dyDescent="0.25"/>
    <row r="284" s="871" customFormat="1" x14ac:dyDescent="0.25"/>
    <row r="285" s="871" customFormat="1" x14ac:dyDescent="0.25"/>
    <row r="286" s="871" customFormat="1" x14ac:dyDescent="0.25"/>
    <row r="287" s="871" customFormat="1" x14ac:dyDescent="0.25"/>
    <row r="288" s="871" customFormat="1" x14ac:dyDescent="0.25"/>
    <row r="289" s="871" customFormat="1" x14ac:dyDescent="0.25"/>
    <row r="290" s="871" customFormat="1" x14ac:dyDescent="0.25"/>
    <row r="291" s="871" customFormat="1" x14ac:dyDescent="0.25"/>
    <row r="292" s="871" customFormat="1" x14ac:dyDescent="0.25"/>
    <row r="293" s="871" customFormat="1" x14ac:dyDescent="0.25"/>
    <row r="294" s="871" customFormat="1" x14ac:dyDescent="0.25"/>
    <row r="295" s="871" customFormat="1" x14ac:dyDescent="0.25"/>
    <row r="296" s="871" customFormat="1" x14ac:dyDescent="0.25"/>
    <row r="297" s="871" customFormat="1" x14ac:dyDescent="0.25"/>
    <row r="298" s="871" customFormat="1" x14ac:dyDescent="0.25"/>
    <row r="299" s="871" customFormat="1" x14ac:dyDescent="0.25"/>
    <row r="300" s="871" customFormat="1" x14ac:dyDescent="0.25"/>
    <row r="301" s="871" customFormat="1" x14ac:dyDescent="0.25"/>
    <row r="302" s="871" customFormat="1" x14ac:dyDescent="0.25"/>
    <row r="303" s="871" customFormat="1" x14ac:dyDescent="0.25"/>
    <row r="304" s="871" customFormat="1" x14ac:dyDescent="0.25"/>
  </sheetData>
  <mergeCells count="4">
    <mergeCell ref="B6:C6"/>
    <mergeCell ref="B18:C18"/>
    <mergeCell ref="B4:C4"/>
    <mergeCell ref="D4:D5"/>
  </mergeCells>
  <conditionalFormatting sqref="D6:D22">
    <cfRule type="cellIs" dxfId="21" priority="1" stopIfTrue="1" operator="lessThan">
      <formula>0</formula>
    </cfRule>
  </conditionalFormatting>
  <hyperlinks>
    <hyperlink ref="B2" location="Indhold!B47" display="Skema EU KM2 - Væsentlige målekriterier" xr:uid="{D8838D18-29E8-42E8-A9E5-851545F78F69}"/>
  </hyperlinks>
  <pageMargins left="0.70866141732283472" right="0.70866141732283472" top="0.74803149606299213" bottom="0.74803149606299213" header="0.31496062992125984" footer="0.31496062992125984"/>
  <pageSetup paperSize="9" orientation="landscape" r:id="rId1"/>
  <headerFooter>
    <oddHeader>&amp;L&amp;"Calibri"&amp;12&amp;K000000 EBA Regular Use&amp;1#_x000D_&amp;CAnnex V
EN</oddHeader>
    <oddFooter>&amp;C&amp;P</oddFooter>
  </headerFooter>
  <ignoredErrors>
    <ignoredError sqref="D10:D11 D13:D22" unlockedFormula="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2BD0C-AC4E-4440-95E0-C6340750212E}">
  <dimension ref="A1:E50"/>
  <sheetViews>
    <sheetView showGridLines="0" topLeftCell="A25" zoomScaleNormal="100" zoomScalePageLayoutView="115" workbookViewId="0">
      <selection activeCell="F1" sqref="F1"/>
    </sheetView>
  </sheetViews>
  <sheetFormatPr defaultColWidth="11.42578125" defaultRowHeight="11.25" x14ac:dyDescent="0.15"/>
  <cols>
    <col min="1" max="1" width="1.85546875" style="879" customWidth="1"/>
    <col min="2" max="2" width="7.85546875" style="879" customWidth="1"/>
    <col min="3" max="3" width="73.140625" style="879" customWidth="1"/>
    <col min="4" max="5" width="19.140625" style="879" bestFit="1" customWidth="1"/>
    <col min="6" max="16384" width="11.42578125" style="879"/>
  </cols>
  <sheetData>
    <row r="1" spans="1:5" ht="12" customHeight="1" x14ac:dyDescent="0.15"/>
    <row r="2" spans="1:5" ht="15.75" customHeight="1" x14ac:dyDescent="0.25">
      <c r="B2" s="866" t="s">
        <v>1573</v>
      </c>
    </row>
    <row r="3" spans="1:5" ht="12" customHeight="1" x14ac:dyDescent="0.15"/>
    <row r="4" spans="1:5" ht="15" customHeight="1" x14ac:dyDescent="0.25">
      <c r="B4" s="718"/>
      <c r="C4" s="719"/>
      <c r="D4" s="1143" t="s">
        <v>1513</v>
      </c>
      <c r="E4" s="1143" t="s">
        <v>1528</v>
      </c>
    </row>
    <row r="5" spans="1:5" ht="64.5" customHeight="1" x14ac:dyDescent="0.25">
      <c r="B5" s="1145" t="s">
        <v>1423</v>
      </c>
      <c r="C5" s="1146"/>
      <c r="D5" s="1144"/>
      <c r="E5" s="1144"/>
    </row>
    <row r="6" spans="1:5" ht="20.100000000000001" customHeight="1" x14ac:dyDescent="0.15">
      <c r="B6" s="1139" t="s">
        <v>1529</v>
      </c>
      <c r="C6" s="1140"/>
      <c r="D6" s="1139"/>
      <c r="E6" s="1140"/>
    </row>
    <row r="7" spans="1:5" ht="20.100000000000001" customHeight="1" x14ac:dyDescent="0.15">
      <c r="A7" s="880"/>
      <c r="B7" s="891">
        <v>1</v>
      </c>
      <c r="C7" s="889" t="s">
        <v>1530</v>
      </c>
      <c r="D7" s="755">
        <f>1237984620/1000</f>
        <v>1237984.6200000001</v>
      </c>
      <c r="E7" s="648"/>
    </row>
    <row r="8" spans="1:5" ht="20.100000000000001" customHeight="1" x14ac:dyDescent="0.15">
      <c r="A8" s="880"/>
      <c r="B8" s="891">
        <v>2</v>
      </c>
      <c r="C8" s="892" t="s">
        <v>1531</v>
      </c>
      <c r="D8" s="755">
        <v>0</v>
      </c>
      <c r="E8" s="648"/>
    </row>
    <row r="9" spans="1:5" ht="20.100000000000001" customHeight="1" x14ac:dyDescent="0.15">
      <c r="A9" s="880"/>
      <c r="B9" s="893">
        <v>3</v>
      </c>
      <c r="C9" s="894" t="s">
        <v>1532</v>
      </c>
      <c r="D9" s="881"/>
      <c r="E9" s="648"/>
    </row>
    <row r="10" spans="1:5" ht="20.100000000000001" customHeight="1" x14ac:dyDescent="0.15">
      <c r="A10" s="880"/>
      <c r="B10" s="893">
        <v>4</v>
      </c>
      <c r="C10" s="894" t="s">
        <v>1532</v>
      </c>
      <c r="D10" s="881"/>
      <c r="E10" s="648"/>
    </row>
    <row r="11" spans="1:5" ht="20.100000000000001" customHeight="1" x14ac:dyDescent="0.15">
      <c r="A11" s="880"/>
      <c r="B11" s="893">
        <v>5</v>
      </c>
      <c r="C11" s="894" t="s">
        <v>1532</v>
      </c>
      <c r="D11" s="881"/>
      <c r="E11" s="648"/>
    </row>
    <row r="12" spans="1:5" ht="20.100000000000001" customHeight="1" x14ac:dyDescent="0.15">
      <c r="A12" s="880"/>
      <c r="B12" s="891">
        <v>6</v>
      </c>
      <c r="C12" s="892" t="s">
        <v>1533</v>
      </c>
      <c r="D12" s="755">
        <v>0</v>
      </c>
      <c r="E12" s="648"/>
    </row>
    <row r="13" spans="1:5" ht="20.100000000000001" customHeight="1" x14ac:dyDescent="0.15">
      <c r="A13" s="880"/>
      <c r="B13" s="893">
        <v>7</v>
      </c>
      <c r="C13" s="894" t="s">
        <v>1532</v>
      </c>
      <c r="D13" s="882"/>
      <c r="E13" s="648"/>
    </row>
    <row r="14" spans="1:5" ht="20.100000000000001" customHeight="1" x14ac:dyDescent="0.15">
      <c r="A14" s="880"/>
      <c r="B14" s="893">
        <v>8</v>
      </c>
      <c r="C14" s="894" t="s">
        <v>1532</v>
      </c>
      <c r="D14" s="882"/>
      <c r="E14" s="648"/>
    </row>
    <row r="15" spans="1:5" ht="27" customHeight="1" x14ac:dyDescent="0.15">
      <c r="B15" s="891">
        <v>11</v>
      </c>
      <c r="C15" s="895" t="s">
        <v>1534</v>
      </c>
      <c r="D15" s="755">
        <f>1237984620/1000</f>
        <v>1237984.6200000001</v>
      </c>
      <c r="E15" s="648"/>
    </row>
    <row r="16" spans="1:5" ht="20.100000000000001" customHeight="1" x14ac:dyDescent="0.15">
      <c r="B16" s="1139" t="s">
        <v>1535</v>
      </c>
      <c r="C16" s="1140"/>
      <c r="D16" s="1139"/>
      <c r="E16" s="1140"/>
    </row>
    <row r="17" spans="1:5" ht="36" x14ac:dyDescent="0.15">
      <c r="B17" s="891">
        <v>12</v>
      </c>
      <c r="C17" s="895" t="s">
        <v>1536</v>
      </c>
      <c r="D17" s="755">
        <v>0</v>
      </c>
      <c r="E17" s="648"/>
    </row>
    <row r="18" spans="1:5" ht="36" x14ac:dyDescent="0.15">
      <c r="B18" s="891" t="s">
        <v>1508</v>
      </c>
      <c r="C18" s="895" t="s">
        <v>1537</v>
      </c>
      <c r="D18" s="755">
        <v>0</v>
      </c>
      <c r="E18" s="648"/>
    </row>
    <row r="19" spans="1:5" s="883" customFormat="1" ht="27.95" customHeight="1" x14ac:dyDescent="0.15">
      <c r="B19" s="896" t="s">
        <v>1509</v>
      </c>
      <c r="C19" s="895" t="s">
        <v>1538</v>
      </c>
      <c r="D19" s="755">
        <v>0</v>
      </c>
      <c r="E19" s="648"/>
    </row>
    <row r="20" spans="1:5" s="883" customFormat="1" ht="27.95" customHeight="1" x14ac:dyDescent="0.15">
      <c r="B20" s="896" t="s">
        <v>1510</v>
      </c>
      <c r="C20" s="895" t="s">
        <v>1539</v>
      </c>
      <c r="D20" s="755">
        <v>0</v>
      </c>
      <c r="E20" s="648"/>
    </row>
    <row r="21" spans="1:5" ht="27.95" customHeight="1" x14ac:dyDescent="0.15">
      <c r="B21" s="891">
        <v>13</v>
      </c>
      <c r="C21" s="895" t="s">
        <v>1540</v>
      </c>
      <c r="D21" s="755">
        <v>0</v>
      </c>
      <c r="E21" s="648"/>
    </row>
    <row r="22" spans="1:5" ht="27.95" customHeight="1" x14ac:dyDescent="0.15">
      <c r="B22" s="896" t="s">
        <v>1136</v>
      </c>
      <c r="C22" s="895" t="s">
        <v>1541</v>
      </c>
      <c r="D22" s="755">
        <v>0</v>
      </c>
      <c r="E22" s="648"/>
    </row>
    <row r="23" spans="1:5" ht="24" x14ac:dyDescent="0.15">
      <c r="B23" s="891">
        <v>14</v>
      </c>
      <c r="C23" s="895" t="s">
        <v>1542</v>
      </c>
      <c r="D23" s="755">
        <v>0</v>
      </c>
      <c r="E23" s="648"/>
    </row>
    <row r="24" spans="1:5" ht="20.100000000000001" customHeight="1" x14ac:dyDescent="0.15">
      <c r="B24" s="893">
        <v>15</v>
      </c>
      <c r="C24" s="894" t="s">
        <v>1532</v>
      </c>
      <c r="D24" s="897"/>
      <c r="E24" s="897"/>
    </row>
    <row r="25" spans="1:5" ht="20.100000000000001" customHeight="1" x14ac:dyDescent="0.15">
      <c r="B25" s="893">
        <v>16</v>
      </c>
      <c r="C25" s="894" t="s">
        <v>1532</v>
      </c>
      <c r="D25" s="897"/>
      <c r="E25" s="897"/>
    </row>
    <row r="26" spans="1:5" ht="20.100000000000001" customHeight="1" x14ac:dyDescent="0.15">
      <c r="B26" s="891">
        <v>17</v>
      </c>
      <c r="C26" s="892" t="s">
        <v>1543</v>
      </c>
      <c r="D26" s="755">
        <v>0</v>
      </c>
      <c r="E26" s="648"/>
    </row>
    <row r="27" spans="1:5" ht="20.100000000000001" customHeight="1" x14ac:dyDescent="0.15">
      <c r="B27" s="896" t="s">
        <v>408</v>
      </c>
      <c r="C27" s="898" t="s">
        <v>1544</v>
      </c>
      <c r="D27" s="755">
        <v>0</v>
      </c>
      <c r="E27" s="648"/>
    </row>
    <row r="28" spans="1:5" ht="15" x14ac:dyDescent="0.15">
      <c r="B28" s="1139" t="s">
        <v>1545</v>
      </c>
      <c r="C28" s="1140"/>
      <c r="D28" s="1139"/>
      <c r="E28" s="1140"/>
    </row>
    <row r="29" spans="1:5" ht="20.100000000000001" customHeight="1" x14ac:dyDescent="0.15">
      <c r="A29" s="880"/>
      <c r="B29" s="891">
        <v>18</v>
      </c>
      <c r="C29" s="895" t="s">
        <v>1546</v>
      </c>
      <c r="D29" s="755">
        <f>1237984620/1000</f>
        <v>1237984.6200000001</v>
      </c>
      <c r="E29" s="648"/>
    </row>
    <row r="30" spans="1:5" ht="20.100000000000001" customHeight="1" x14ac:dyDescent="0.15">
      <c r="B30" s="891">
        <v>19</v>
      </c>
      <c r="C30" s="895" t="s">
        <v>1547</v>
      </c>
      <c r="D30" s="899"/>
      <c r="E30" s="648"/>
    </row>
    <row r="31" spans="1:5" ht="20.100000000000001" customHeight="1" x14ac:dyDescent="0.15">
      <c r="B31" s="891">
        <v>20</v>
      </c>
      <c r="C31" s="901" t="s">
        <v>1548</v>
      </c>
      <c r="D31" s="754">
        <v>0</v>
      </c>
      <c r="E31" s="648"/>
    </row>
    <row r="32" spans="1:5" ht="20.100000000000001" customHeight="1" x14ac:dyDescent="0.15">
      <c r="A32" s="880"/>
      <c r="B32" s="893">
        <v>21</v>
      </c>
      <c r="C32" s="894" t="s">
        <v>1532</v>
      </c>
      <c r="D32" s="902"/>
      <c r="E32" s="903"/>
    </row>
    <row r="33" spans="2:5" ht="20.100000000000001" customHeight="1" x14ac:dyDescent="0.15">
      <c r="B33" s="891">
        <v>22</v>
      </c>
      <c r="C33" s="895" t="s">
        <v>1549</v>
      </c>
      <c r="D33" s="755">
        <f>1237984620/1000</f>
        <v>1237984.6200000001</v>
      </c>
      <c r="E33" s="648"/>
    </row>
    <row r="34" spans="2:5" ht="20.100000000000001" customHeight="1" x14ac:dyDescent="0.15">
      <c r="B34" s="896" t="s">
        <v>417</v>
      </c>
      <c r="C34" s="904" t="s">
        <v>1550</v>
      </c>
      <c r="D34" s="755">
        <f>1237984620/1000</f>
        <v>1237984.6200000001</v>
      </c>
      <c r="E34" s="648"/>
    </row>
    <row r="35" spans="2:5" ht="15" x14ac:dyDescent="0.15">
      <c r="B35" s="1139" t="s">
        <v>1551</v>
      </c>
      <c r="C35" s="1140"/>
      <c r="D35" s="1139"/>
      <c r="E35" s="1140"/>
    </row>
    <row r="36" spans="2:5" ht="20.100000000000001" customHeight="1" x14ac:dyDescent="0.15">
      <c r="B36" s="891">
        <v>23</v>
      </c>
      <c r="C36" s="895" t="s">
        <v>1552</v>
      </c>
      <c r="D36" s="755">
        <f>5136453489/1000</f>
        <v>5136453.4890000001</v>
      </c>
      <c r="E36" s="648"/>
    </row>
    <row r="37" spans="2:5" ht="20.100000000000001" customHeight="1" x14ac:dyDescent="0.15">
      <c r="B37" s="891">
        <v>24</v>
      </c>
      <c r="C37" s="895" t="s">
        <v>1553</v>
      </c>
      <c r="D37" s="755">
        <f>10850676000/1000</f>
        <v>10850676</v>
      </c>
      <c r="E37" s="648"/>
    </row>
    <row r="38" spans="2:5" ht="20.100000000000001" customHeight="1" x14ac:dyDescent="0.15">
      <c r="B38" s="1139" t="s">
        <v>1554</v>
      </c>
      <c r="C38" s="1140"/>
      <c r="D38" s="1139"/>
      <c r="E38" s="1140"/>
    </row>
    <row r="39" spans="2:5" ht="20.100000000000001" customHeight="1" x14ac:dyDescent="0.15">
      <c r="B39" s="891">
        <v>25</v>
      </c>
      <c r="C39" s="895" t="s">
        <v>1517</v>
      </c>
      <c r="D39" s="890">
        <f>+D33/D36</f>
        <v>0.24101933808048936</v>
      </c>
      <c r="E39" s="648"/>
    </row>
    <row r="40" spans="2:5" ht="20.100000000000001" customHeight="1" x14ac:dyDescent="0.15">
      <c r="B40" s="896" t="s">
        <v>236</v>
      </c>
      <c r="C40" s="904" t="s">
        <v>1515</v>
      </c>
      <c r="D40" s="890">
        <f>+D34/D36</f>
        <v>0.24101933808048936</v>
      </c>
      <c r="E40" s="648"/>
    </row>
    <row r="41" spans="2:5" ht="20.100000000000001" customHeight="1" x14ac:dyDescent="0.15">
      <c r="B41" s="891">
        <v>26</v>
      </c>
      <c r="C41" s="895" t="s">
        <v>1519</v>
      </c>
      <c r="D41" s="890">
        <f>+D33/D37</f>
        <v>0.11409285651880123</v>
      </c>
      <c r="E41" s="648"/>
    </row>
    <row r="42" spans="2:5" ht="20.100000000000001" customHeight="1" x14ac:dyDescent="0.15">
      <c r="B42" s="896" t="s">
        <v>446</v>
      </c>
      <c r="C42" s="904" t="s">
        <v>1515</v>
      </c>
      <c r="D42" s="890">
        <f>+D34/D37</f>
        <v>0.11409285651880123</v>
      </c>
      <c r="E42" s="648"/>
    </row>
    <row r="43" spans="2:5" ht="27.95" customHeight="1" x14ac:dyDescent="0.15">
      <c r="B43" s="891">
        <v>27</v>
      </c>
      <c r="C43" s="895" t="s">
        <v>1555</v>
      </c>
      <c r="D43" s="890">
        <v>0.161</v>
      </c>
      <c r="E43" s="648"/>
    </row>
    <row r="44" spans="2:5" ht="20.100000000000001" customHeight="1" x14ac:dyDescent="0.15">
      <c r="B44" s="891">
        <v>28</v>
      </c>
      <c r="C44" s="892" t="s">
        <v>1556</v>
      </c>
      <c r="D44" s="900"/>
      <c r="E44" s="648"/>
    </row>
    <row r="45" spans="2:5" ht="20.100000000000001" customHeight="1" x14ac:dyDescent="0.15">
      <c r="B45" s="891">
        <v>29</v>
      </c>
      <c r="C45" s="905" t="s">
        <v>1557</v>
      </c>
      <c r="D45" s="900"/>
      <c r="E45" s="648"/>
    </row>
    <row r="46" spans="2:5" ht="20.100000000000001" customHeight="1" x14ac:dyDescent="0.15">
      <c r="B46" s="891">
        <v>30</v>
      </c>
      <c r="C46" s="905" t="s">
        <v>1558</v>
      </c>
      <c r="D46" s="900"/>
      <c r="E46" s="648"/>
    </row>
    <row r="47" spans="2:5" ht="20.100000000000001" customHeight="1" x14ac:dyDescent="0.15">
      <c r="B47" s="891">
        <v>31</v>
      </c>
      <c r="C47" s="905" t="s">
        <v>1559</v>
      </c>
      <c r="D47" s="900"/>
      <c r="E47" s="648"/>
    </row>
    <row r="48" spans="2:5" ht="27.95" customHeight="1" x14ac:dyDescent="0.15">
      <c r="B48" s="891" t="s">
        <v>1511</v>
      </c>
      <c r="C48" s="905" t="s">
        <v>1560</v>
      </c>
      <c r="D48" s="900"/>
      <c r="E48" s="648"/>
    </row>
    <row r="49" spans="2:5" ht="20.100000000000001" customHeight="1" x14ac:dyDescent="0.15">
      <c r="B49" s="1139" t="s">
        <v>1561</v>
      </c>
      <c r="C49" s="1140"/>
      <c r="D49" s="1139"/>
      <c r="E49" s="1140"/>
    </row>
    <row r="50" spans="2:5" ht="27" customHeight="1" x14ac:dyDescent="0.15">
      <c r="B50" s="891" t="s">
        <v>1512</v>
      </c>
      <c r="C50" s="892" t="s">
        <v>1562</v>
      </c>
      <c r="D50" s="900"/>
      <c r="E50" s="648"/>
    </row>
  </sheetData>
  <mergeCells count="15">
    <mergeCell ref="B35:C35"/>
    <mergeCell ref="D35:E35"/>
    <mergeCell ref="B38:C38"/>
    <mergeCell ref="D38:E38"/>
    <mergeCell ref="B49:C49"/>
    <mergeCell ref="D49:E49"/>
    <mergeCell ref="B16:C16"/>
    <mergeCell ref="D16:E16"/>
    <mergeCell ref="B28:C28"/>
    <mergeCell ref="D28:E28"/>
    <mergeCell ref="B5:C5"/>
    <mergeCell ref="D4:D5"/>
    <mergeCell ref="E4:E5"/>
    <mergeCell ref="B6:C6"/>
    <mergeCell ref="D6:E6"/>
  </mergeCells>
  <conditionalFormatting sqref="D7:D8">
    <cfRule type="cellIs" dxfId="20" priority="29" stopIfTrue="1" operator="lessThan">
      <formula>0</formula>
    </cfRule>
  </conditionalFormatting>
  <conditionalFormatting sqref="D12">
    <cfRule type="cellIs" dxfId="19" priority="28" stopIfTrue="1" operator="lessThan">
      <formula>0</formula>
    </cfRule>
  </conditionalFormatting>
  <conditionalFormatting sqref="D15">
    <cfRule type="cellIs" dxfId="18" priority="27" stopIfTrue="1" operator="lessThan">
      <formula>0</formula>
    </cfRule>
  </conditionalFormatting>
  <conditionalFormatting sqref="D29">
    <cfRule type="cellIs" dxfId="17" priority="24" stopIfTrue="1" operator="lessThan">
      <formula>0</formula>
    </cfRule>
  </conditionalFormatting>
  <conditionalFormatting sqref="D31">
    <cfRule type="cellIs" dxfId="16" priority="1" stopIfTrue="1" operator="lessThan">
      <formula>0</formula>
    </cfRule>
  </conditionalFormatting>
  <conditionalFormatting sqref="D39:D43">
    <cfRule type="cellIs" dxfId="15" priority="11" stopIfTrue="1" operator="lessThan">
      <formula>0</formula>
    </cfRule>
  </conditionalFormatting>
  <conditionalFormatting sqref="D17:E23">
    <cfRule type="cellIs" dxfId="14" priority="9" stopIfTrue="1" operator="lessThan">
      <formula>0</formula>
    </cfRule>
  </conditionalFormatting>
  <conditionalFormatting sqref="D26:E27">
    <cfRule type="cellIs" dxfId="13" priority="8" stopIfTrue="1" operator="lessThan">
      <formula>0</formula>
    </cfRule>
  </conditionalFormatting>
  <conditionalFormatting sqref="D33:E34">
    <cfRule type="cellIs" dxfId="12" priority="6" stopIfTrue="1" operator="lessThan">
      <formula>0</formula>
    </cfRule>
  </conditionalFormatting>
  <conditionalFormatting sqref="D36:E37">
    <cfRule type="cellIs" dxfId="11" priority="5" stopIfTrue="1" operator="lessThan">
      <formula>0</formula>
    </cfRule>
  </conditionalFormatting>
  <conditionalFormatting sqref="E7:E15">
    <cfRule type="cellIs" dxfId="10" priority="10" stopIfTrue="1" operator="lessThan">
      <formula>0</formula>
    </cfRule>
  </conditionalFormatting>
  <conditionalFormatting sqref="E29:E31">
    <cfRule type="cellIs" dxfId="9" priority="7" stopIfTrue="1" operator="lessThan">
      <formula>0</formula>
    </cfRule>
  </conditionalFormatting>
  <conditionalFormatting sqref="E39:E48">
    <cfRule type="cellIs" dxfId="8" priority="3" stopIfTrue="1" operator="lessThan">
      <formula>0</formula>
    </cfRule>
  </conditionalFormatting>
  <conditionalFormatting sqref="E50">
    <cfRule type="cellIs" dxfId="7" priority="2" stopIfTrue="1" operator="lessThan">
      <formula>0</formula>
    </cfRule>
  </conditionalFormatting>
  <hyperlinks>
    <hyperlink ref="B2" location="Indhold!B48" display="Skema EU TLAC1 - Sammensætning" xr:uid="{CBF055B5-09D3-4A23-9802-568AB8EBDFD3}"/>
  </hyperlinks>
  <pageMargins left="0.31496062992125984" right="0.31496062992125984" top="0.74803149606299213" bottom="0.74803149606299213" header="0.31496062992125984" footer="0.31496062992125984"/>
  <pageSetup paperSize="9" orientation="landscape" r:id="rId1"/>
  <headerFooter>
    <oddHeader>&amp;L&amp;"Calibri"&amp;12&amp;K000000 EBA Regular Use&amp;1#_x000D_&amp;CEN
ANNEX V</oddHeader>
    <oddFooter>&amp;C&amp;P</oddFooter>
  </headerFooter>
  <ignoredErrors>
    <ignoredError sqref="D8:D14 D30:D31 D40:D42" unlockedFormula="1"/>
  </ignoredError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EAD70-A956-4B58-9256-9B548497B78F}">
  <dimension ref="B1:J16"/>
  <sheetViews>
    <sheetView showGridLines="0" zoomScaleNormal="100" zoomScalePageLayoutView="115" workbookViewId="0">
      <selection activeCell="F1" sqref="F1"/>
    </sheetView>
  </sheetViews>
  <sheetFormatPr defaultColWidth="8.85546875" defaultRowHeight="11.25" x14ac:dyDescent="0.25"/>
  <cols>
    <col min="1" max="1" width="1.85546875" style="876" customWidth="1"/>
    <col min="2" max="2" width="5.85546875" style="876" customWidth="1"/>
    <col min="3" max="3" width="72" style="876" customWidth="1"/>
    <col min="4" max="5" width="17.85546875" style="876" customWidth="1"/>
    <col min="6" max="6" width="17.7109375" style="876" bestFit="1" customWidth="1"/>
    <col min="7" max="7" width="23.28515625" style="876" bestFit="1" customWidth="1"/>
    <col min="8" max="9" width="19.42578125" style="876" customWidth="1"/>
    <col min="10" max="10" width="17.85546875" style="876" customWidth="1"/>
    <col min="11" max="11" width="13.85546875" style="876" customWidth="1"/>
    <col min="12" max="16384" width="8.85546875" style="876"/>
  </cols>
  <sheetData>
    <row r="1" spans="2:10" ht="12" customHeight="1" x14ac:dyDescent="0.25"/>
    <row r="2" spans="2:10" ht="20.100000000000001" customHeight="1" x14ac:dyDescent="0.25">
      <c r="B2" s="866" t="s">
        <v>1574</v>
      </c>
      <c r="C2" s="886"/>
      <c r="D2" s="884"/>
      <c r="F2" s="884"/>
      <c r="G2" s="884"/>
      <c r="H2" s="884"/>
      <c r="I2" s="884"/>
      <c r="J2" s="884"/>
    </row>
    <row r="3" spans="2:10" x14ac:dyDescent="0.25">
      <c r="B3" s="885"/>
      <c r="C3" s="885"/>
      <c r="D3" s="885"/>
      <c r="E3" s="885"/>
      <c r="F3" s="885"/>
      <c r="G3" s="885"/>
      <c r="H3" s="885"/>
      <c r="I3" s="885"/>
    </row>
    <row r="4" spans="2:10" ht="15" x14ac:dyDescent="0.25">
      <c r="B4" s="718"/>
      <c r="C4" s="719"/>
      <c r="D4" s="1151" t="s">
        <v>1563</v>
      </c>
      <c r="E4" s="1152"/>
      <c r="F4" s="1152"/>
      <c r="G4" s="1152"/>
      <c r="H4" s="1152"/>
      <c r="I4" s="1152"/>
      <c r="J4" s="1148" t="s">
        <v>1571</v>
      </c>
    </row>
    <row r="5" spans="2:10" ht="20.100000000000001" customHeight="1" x14ac:dyDescent="0.25">
      <c r="B5" s="718"/>
      <c r="C5" s="719"/>
      <c r="D5" s="1043">
        <v>1</v>
      </c>
      <c r="E5" s="1043">
        <v>2</v>
      </c>
      <c r="F5" s="1043">
        <v>3</v>
      </c>
      <c r="G5" s="1043">
        <v>4</v>
      </c>
      <c r="H5" s="1043">
        <v>5</v>
      </c>
      <c r="I5" s="1043">
        <v>6</v>
      </c>
      <c r="J5" s="1149"/>
    </row>
    <row r="6" spans="2:10" ht="20.100000000000001" customHeight="1" x14ac:dyDescent="0.25">
      <c r="B6" s="1145" t="s">
        <v>1423</v>
      </c>
      <c r="C6" s="1146"/>
      <c r="D6" s="1147">
        <v>2</v>
      </c>
      <c r="E6" s="1147">
        <v>2</v>
      </c>
      <c r="F6" s="1147">
        <v>3</v>
      </c>
      <c r="G6" s="1147"/>
      <c r="H6" s="1147">
        <v>5</v>
      </c>
      <c r="I6" s="1147">
        <v>6</v>
      </c>
      <c r="J6" s="1150"/>
    </row>
    <row r="7" spans="2:10" ht="20.100000000000001" customHeight="1" x14ac:dyDescent="0.25">
      <c r="B7" s="906">
        <v>1</v>
      </c>
      <c r="C7" s="907" t="s">
        <v>1564</v>
      </c>
      <c r="D7" s="115" t="s">
        <v>288</v>
      </c>
      <c r="E7" s="115" t="s">
        <v>1582</v>
      </c>
      <c r="F7" s="115" t="s">
        <v>285</v>
      </c>
      <c r="G7" s="115" t="s">
        <v>1583</v>
      </c>
      <c r="H7" s="115"/>
      <c r="I7" s="115"/>
      <c r="J7" s="900"/>
    </row>
    <row r="8" spans="2:10" ht="20.100000000000001" customHeight="1" x14ac:dyDescent="0.25">
      <c r="B8" s="893">
        <v>2</v>
      </c>
      <c r="C8" s="893" t="s">
        <v>1532</v>
      </c>
      <c r="D8" s="893"/>
      <c r="E8" s="893"/>
      <c r="F8" s="893"/>
      <c r="G8" s="893"/>
      <c r="H8" s="893"/>
      <c r="I8" s="893"/>
      <c r="J8" s="893"/>
    </row>
    <row r="9" spans="2:10" ht="20.100000000000001" customHeight="1" x14ac:dyDescent="0.25">
      <c r="B9" s="893">
        <v>3</v>
      </c>
      <c r="C9" s="893" t="s">
        <v>1532</v>
      </c>
      <c r="D9" s="893"/>
      <c r="E9" s="893"/>
      <c r="F9" s="893"/>
      <c r="G9" s="893"/>
      <c r="H9" s="893"/>
      <c r="I9" s="893"/>
      <c r="J9" s="893"/>
    </row>
    <row r="10" spans="2:10" ht="20.100000000000001" customHeight="1" x14ac:dyDescent="0.25">
      <c r="B10" s="893">
        <v>4</v>
      </c>
      <c r="C10" s="893" t="s">
        <v>1532</v>
      </c>
      <c r="D10" s="893"/>
      <c r="E10" s="893"/>
      <c r="F10" s="893"/>
      <c r="G10" s="893"/>
      <c r="H10" s="893"/>
      <c r="I10" s="893"/>
      <c r="J10" s="893"/>
    </row>
    <row r="11" spans="2:10" ht="24" x14ac:dyDescent="0.25">
      <c r="B11" s="906">
        <v>5</v>
      </c>
      <c r="C11" s="907" t="s">
        <v>1565</v>
      </c>
      <c r="D11" s="755">
        <f>1237984620/1000</f>
        <v>1237984.6200000001</v>
      </c>
      <c r="E11" s="755">
        <v>0</v>
      </c>
      <c r="F11" s="755">
        <v>0</v>
      </c>
      <c r="G11" s="755">
        <v>0</v>
      </c>
      <c r="H11" s="755">
        <v>0</v>
      </c>
      <c r="I11" s="755">
        <v>0</v>
      </c>
      <c r="J11" s="755">
        <f>SUM(D11:I11)</f>
        <v>1237984.6200000001</v>
      </c>
    </row>
    <row r="12" spans="2:10" ht="20.100000000000001" customHeight="1" x14ac:dyDescent="0.25">
      <c r="B12" s="906">
        <v>6</v>
      </c>
      <c r="C12" s="114" t="s">
        <v>1566</v>
      </c>
      <c r="D12" s="755">
        <v>0</v>
      </c>
      <c r="E12" s="755">
        <v>0</v>
      </c>
      <c r="F12" s="755">
        <v>0</v>
      </c>
      <c r="G12" s="755">
        <v>0</v>
      </c>
      <c r="H12" s="755">
        <v>0</v>
      </c>
      <c r="I12" s="755">
        <v>0</v>
      </c>
      <c r="J12" s="755"/>
    </row>
    <row r="13" spans="2:10" ht="20.100000000000001" customHeight="1" x14ac:dyDescent="0.25">
      <c r="B13" s="906">
        <v>7</v>
      </c>
      <c r="C13" s="114" t="s">
        <v>1567</v>
      </c>
      <c r="D13" s="755">
        <v>0</v>
      </c>
      <c r="E13" s="755">
        <v>0</v>
      </c>
      <c r="F13" s="755">
        <v>0</v>
      </c>
      <c r="G13" s="755">
        <v>0</v>
      </c>
      <c r="H13" s="755">
        <v>0</v>
      </c>
      <c r="I13" s="755">
        <v>0</v>
      </c>
      <c r="J13" s="755"/>
    </row>
    <row r="14" spans="2:10" ht="20.100000000000001" customHeight="1" x14ac:dyDescent="0.25">
      <c r="B14" s="906">
        <v>8</v>
      </c>
      <c r="C14" s="114" t="s">
        <v>1568</v>
      </c>
      <c r="D14" s="755">
        <v>0</v>
      </c>
      <c r="E14" s="755">
        <v>0</v>
      </c>
      <c r="F14" s="755">
        <v>0</v>
      </c>
      <c r="G14" s="755">
        <v>0</v>
      </c>
      <c r="H14" s="755">
        <v>0</v>
      </c>
      <c r="I14" s="755">
        <v>0</v>
      </c>
      <c r="J14" s="755"/>
    </row>
    <row r="15" spans="2:10" ht="20.100000000000001" customHeight="1" x14ac:dyDescent="0.25">
      <c r="B15" s="906">
        <v>9</v>
      </c>
      <c r="C15" s="114" t="s">
        <v>1569</v>
      </c>
      <c r="D15" s="755">
        <v>0</v>
      </c>
      <c r="E15" s="755">
        <v>0</v>
      </c>
      <c r="F15" s="755">
        <v>0</v>
      </c>
      <c r="G15" s="755">
        <v>0</v>
      </c>
      <c r="H15" s="755">
        <v>0</v>
      </c>
      <c r="I15" s="755">
        <v>0</v>
      </c>
      <c r="J15" s="755"/>
    </row>
    <row r="16" spans="2:10" ht="20.100000000000001" customHeight="1" x14ac:dyDescent="0.25">
      <c r="B16" s="906">
        <v>10</v>
      </c>
      <c r="C16" s="114" t="s">
        <v>1570</v>
      </c>
      <c r="D16" s="755">
        <f>1237984620/1000</f>
        <v>1237984.6200000001</v>
      </c>
      <c r="E16" s="755">
        <v>0</v>
      </c>
      <c r="F16" s="755">
        <v>0</v>
      </c>
      <c r="G16" s="755">
        <v>0</v>
      </c>
      <c r="H16" s="755">
        <v>0</v>
      </c>
      <c r="I16" s="755">
        <v>0</v>
      </c>
      <c r="J16" s="755">
        <f>SUM(D16:I16)</f>
        <v>1237984.6200000001</v>
      </c>
    </row>
  </sheetData>
  <mergeCells count="9">
    <mergeCell ref="B6:C6"/>
    <mergeCell ref="G5:G6"/>
    <mergeCell ref="H5:H6"/>
    <mergeCell ref="J4:J6"/>
    <mergeCell ref="D4:I4"/>
    <mergeCell ref="D5:D6"/>
    <mergeCell ref="E5:E6"/>
    <mergeCell ref="F5:F6"/>
    <mergeCell ref="I5:I6"/>
  </mergeCells>
  <conditionalFormatting sqref="D7:J7">
    <cfRule type="cellIs" dxfId="6" priority="3" stopIfTrue="1" operator="lessThan">
      <formula>0</formula>
    </cfRule>
  </conditionalFormatting>
  <conditionalFormatting sqref="D11:J16">
    <cfRule type="cellIs" dxfId="5" priority="1" stopIfTrue="1" operator="lessThan">
      <formula>0</formula>
    </cfRule>
  </conditionalFormatting>
  <hyperlinks>
    <hyperlink ref="B2" location="Indhold!B49" display="Skema EU TLAC3b: Kreditorrækkefølge (afviklingsenhed)" xr:uid="{5E116078-ED10-4DC8-93BB-EEC1F3B70C0B}"/>
  </hyperlinks>
  <pageMargins left="0.70866141732283472" right="0.70866141732283472" top="0.74803149606299213" bottom="0.74803149606299213" header="0.31496062992125984" footer="0.31496062992125984"/>
  <pageSetup paperSize="8" fitToWidth="0" fitToHeight="0" orientation="landscape" r:id="rId1"/>
  <headerFooter>
    <oddHeader>&amp;L&amp;"Calibri"&amp;12&amp;K000000 EBA Regular Use&amp;1#_x000D_&amp;CEN
Annex V</oddHeader>
    <oddFooter>&amp;C&amp;P</oddFooter>
  </headerFooter>
  <ignoredErrors>
    <ignoredError sqref="D12:D15" unlockedFormula="1"/>
  </ignoredError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CDF37-9A95-4AF6-A4E5-E40D0AB2334D}">
  <sheetPr>
    <tabColor rgb="FF0070C0"/>
  </sheetPr>
  <dimension ref="B2:F16"/>
  <sheetViews>
    <sheetView showGridLines="0" zoomScaleNormal="100" workbookViewId="0">
      <selection activeCell="B2" sqref="B2"/>
    </sheetView>
  </sheetViews>
  <sheetFormatPr defaultRowHeight="15" x14ac:dyDescent="0.25"/>
  <cols>
    <col min="2" max="2" width="4.7109375" customWidth="1"/>
    <col min="3" max="4" width="26.42578125" customWidth="1"/>
    <col min="5" max="6" width="27" customWidth="1"/>
  </cols>
  <sheetData>
    <row r="2" spans="2:6" x14ac:dyDescent="0.25">
      <c r="B2" s="866" t="s">
        <v>708</v>
      </c>
    </row>
    <row r="3" spans="2:6" ht="15.75" x14ac:dyDescent="0.25">
      <c r="B3" s="1158"/>
      <c r="C3" s="1158"/>
      <c r="D3" s="219"/>
      <c r="E3" s="611"/>
      <c r="F3" s="611"/>
    </row>
    <row r="4" spans="2:6" ht="15.75" x14ac:dyDescent="0.25">
      <c r="B4" s="816"/>
      <c r="C4" s="816"/>
      <c r="D4" s="219"/>
      <c r="E4" s="611"/>
      <c r="F4" s="611"/>
    </row>
    <row r="5" spans="2:6" ht="15.75" x14ac:dyDescent="0.25">
      <c r="B5" s="1159"/>
      <c r="C5" s="1159"/>
      <c r="D5" s="610"/>
      <c r="E5" s="612" t="s">
        <v>103</v>
      </c>
      <c r="F5" s="612" t="s">
        <v>102</v>
      </c>
    </row>
    <row r="6" spans="2:6" ht="15.75" x14ac:dyDescent="0.25">
      <c r="B6" s="1159"/>
      <c r="C6" s="1159"/>
      <c r="D6" s="609"/>
      <c r="E6" s="1076" t="s">
        <v>709</v>
      </c>
      <c r="F6" s="1078"/>
    </row>
    <row r="7" spans="2:6" ht="15.75" x14ac:dyDescent="0.25">
      <c r="B7" s="1162" t="s">
        <v>1423</v>
      </c>
      <c r="C7" s="1162"/>
      <c r="D7" s="613"/>
      <c r="E7" s="1160"/>
      <c r="F7" s="1161"/>
    </row>
    <row r="8" spans="2:6" ht="16.5" thickBot="1" x14ac:dyDescent="0.3">
      <c r="B8" s="1157"/>
      <c r="C8" s="1157"/>
      <c r="D8" s="614"/>
      <c r="E8" s="615" t="s">
        <v>710</v>
      </c>
      <c r="F8" s="615" t="s">
        <v>711</v>
      </c>
    </row>
    <row r="9" spans="2:6" x14ac:dyDescent="0.25">
      <c r="B9" s="616" t="s">
        <v>343</v>
      </c>
      <c r="C9" s="1155" t="s">
        <v>712</v>
      </c>
      <c r="D9" s="1155"/>
      <c r="E9" s="457">
        <v>0</v>
      </c>
      <c r="F9" s="457">
        <v>0</v>
      </c>
    </row>
    <row r="10" spans="2:6" x14ac:dyDescent="0.25">
      <c r="B10" s="617" t="s">
        <v>349</v>
      </c>
      <c r="C10" s="1156" t="s">
        <v>713</v>
      </c>
      <c r="D10" s="1156"/>
      <c r="E10" s="55">
        <v>0</v>
      </c>
      <c r="F10" s="55">
        <v>0</v>
      </c>
    </row>
    <row r="11" spans="2:6" x14ac:dyDescent="0.25">
      <c r="B11" s="618" t="s">
        <v>585</v>
      </c>
      <c r="C11" s="1153" t="s">
        <v>714</v>
      </c>
      <c r="D11" s="1153"/>
      <c r="E11" s="55">
        <v>0</v>
      </c>
      <c r="F11" s="55">
        <v>0</v>
      </c>
    </row>
    <row r="12" spans="2:6" x14ac:dyDescent="0.25">
      <c r="B12" s="618" t="s">
        <v>587</v>
      </c>
      <c r="C12" s="1153" t="s">
        <v>715</v>
      </c>
      <c r="D12" s="1153"/>
      <c r="E12" s="55">
        <v>0</v>
      </c>
      <c r="F12" s="55">
        <v>0</v>
      </c>
    </row>
    <row r="13" spans="2:6" x14ac:dyDescent="0.25">
      <c r="B13" s="618" t="s">
        <v>589</v>
      </c>
      <c r="C13" s="1153" t="s">
        <v>716</v>
      </c>
      <c r="D13" s="1153"/>
      <c r="E13" s="55">
        <v>0</v>
      </c>
      <c r="F13" s="55">
        <v>0</v>
      </c>
    </row>
    <row r="14" spans="2:6" x14ac:dyDescent="0.25">
      <c r="B14" s="618" t="s">
        <v>591</v>
      </c>
      <c r="C14" s="1153" t="s">
        <v>717</v>
      </c>
      <c r="D14" s="1153"/>
      <c r="E14" s="55">
        <v>0</v>
      </c>
      <c r="F14" s="55">
        <v>0</v>
      </c>
    </row>
    <row r="15" spans="2:6" x14ac:dyDescent="0.25">
      <c r="B15" s="618" t="s">
        <v>593</v>
      </c>
      <c r="C15" s="1153" t="s">
        <v>718</v>
      </c>
      <c r="D15" s="1153"/>
      <c r="E15" s="55">
        <v>0</v>
      </c>
      <c r="F15" s="55">
        <v>0</v>
      </c>
    </row>
    <row r="16" spans="2:6" x14ac:dyDescent="0.25">
      <c r="B16" s="619" t="s">
        <v>595</v>
      </c>
      <c r="C16" s="1154" t="s">
        <v>0</v>
      </c>
      <c r="D16" s="1154"/>
      <c r="E16" s="55">
        <v>0</v>
      </c>
      <c r="F16" s="55">
        <v>0</v>
      </c>
    </row>
  </sheetData>
  <mergeCells count="14">
    <mergeCell ref="B8:C8"/>
    <mergeCell ref="B3:C3"/>
    <mergeCell ref="B5:C5"/>
    <mergeCell ref="B6:C6"/>
    <mergeCell ref="E6:F7"/>
    <mergeCell ref="B7:C7"/>
    <mergeCell ref="C15:D15"/>
    <mergeCell ref="C16:D16"/>
    <mergeCell ref="C9:D9"/>
    <mergeCell ref="C10:D10"/>
    <mergeCell ref="C11:D11"/>
    <mergeCell ref="C12:D12"/>
    <mergeCell ref="C13:D13"/>
    <mergeCell ref="C14:D14"/>
  </mergeCells>
  <hyperlinks>
    <hyperlink ref="B2" location="Indhold!B54" display="Skema EU CQ7: Sikkerhedsstillelse opnået gennem overtagelse og fuldbyrdelsesprocesser " xr:uid="{0DAC9D37-8E8E-4AF3-9F42-C6B0C93A05CB}"/>
  </hyperlinks>
  <pageMargins left="0.70866141732283472" right="0.70866141732283472" top="0.74803149606299213" bottom="0.74803149606299213" header="0.31496062992125984" footer="0.31496062992125984"/>
  <pageSetup paperSize="9" orientation="landscape" r:id="rId1"/>
  <headerFooter>
    <oddHeader>&amp;CDA
Bilag XV</oddHeader>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F066B-2B55-4E6D-9E3B-E01E6439C134}">
  <sheetPr>
    <tabColor rgb="FF0070C0"/>
    <pageSetUpPr fitToPage="1"/>
  </sheetPr>
  <dimension ref="B2:L39"/>
  <sheetViews>
    <sheetView showGridLines="0" zoomScaleNormal="100" zoomScalePageLayoutView="90" workbookViewId="0">
      <selection activeCell="B2" sqref="B2"/>
    </sheetView>
  </sheetViews>
  <sheetFormatPr defaultColWidth="9.140625" defaultRowHeight="15" x14ac:dyDescent="0.25"/>
  <cols>
    <col min="1" max="1" width="9.140625" style="663"/>
    <col min="2" max="2" width="12.42578125" style="662" customWidth="1"/>
    <col min="3" max="3" width="64.42578125" style="663" customWidth="1"/>
    <col min="4" max="4" width="18.7109375" style="663" customWidth="1"/>
    <col min="5" max="5" width="14.5703125" style="663" customWidth="1"/>
    <col min="6" max="6" width="9.140625" style="663"/>
    <col min="7" max="8" width="14.140625" style="663" customWidth="1"/>
    <col min="9" max="11" width="16.7109375" style="663" customWidth="1"/>
    <col min="12" max="16384" width="9.140625" style="663"/>
  </cols>
  <sheetData>
    <row r="2" spans="2:12" x14ac:dyDescent="0.25">
      <c r="B2" s="866" t="s">
        <v>901</v>
      </c>
      <c r="C2" s="662"/>
    </row>
    <row r="3" spans="2:12" ht="15.75" x14ac:dyDescent="0.25">
      <c r="B3" s="664" t="s">
        <v>902</v>
      </c>
    </row>
    <row r="4" spans="2:12" x14ac:dyDescent="0.25">
      <c r="B4" s="665"/>
      <c r="C4" s="666"/>
      <c r="D4" s="667"/>
      <c r="E4" s="667"/>
      <c r="F4" s="667"/>
      <c r="G4" s="667"/>
      <c r="H4" s="667"/>
      <c r="I4" s="667"/>
      <c r="J4" s="667"/>
      <c r="K4" s="667"/>
      <c r="L4" s="668"/>
    </row>
    <row r="5" spans="2:12" x14ac:dyDescent="0.25">
      <c r="B5" s="669"/>
      <c r="C5" s="670"/>
      <c r="D5" s="464" t="s">
        <v>103</v>
      </c>
      <c r="E5" s="464" t="s">
        <v>102</v>
      </c>
      <c r="F5" s="464" t="s">
        <v>97</v>
      </c>
      <c r="G5" s="464" t="s">
        <v>96</v>
      </c>
      <c r="H5" s="464" t="s">
        <v>95</v>
      </c>
      <c r="I5" s="464" t="s">
        <v>111</v>
      </c>
      <c r="J5" s="464" t="s">
        <v>112</v>
      </c>
      <c r="K5" s="464" t="s">
        <v>164</v>
      </c>
      <c r="L5" s="671"/>
    </row>
    <row r="6" spans="2:12" ht="105" x14ac:dyDescent="0.25">
      <c r="B6" s="653" t="s">
        <v>1423</v>
      </c>
      <c r="C6" s="670"/>
      <c r="D6" s="464" t="s">
        <v>903</v>
      </c>
      <c r="E6" s="464" t="s">
        <v>904</v>
      </c>
      <c r="F6" s="464" t="s">
        <v>1271</v>
      </c>
      <c r="G6" s="464" t="s">
        <v>1272</v>
      </c>
      <c r="H6" s="464" t="s">
        <v>1273</v>
      </c>
      <c r="I6" s="464" t="s">
        <v>1274</v>
      </c>
      <c r="J6" s="464" t="s">
        <v>1275</v>
      </c>
      <c r="K6" s="464" t="s">
        <v>90</v>
      </c>
      <c r="L6" s="671"/>
    </row>
    <row r="7" spans="2:12" x14ac:dyDescent="0.25">
      <c r="B7" s="13" t="s">
        <v>1460</v>
      </c>
      <c r="C7" s="9" t="s">
        <v>905</v>
      </c>
      <c r="D7" s="672">
        <v>0</v>
      </c>
      <c r="E7" s="672">
        <v>0</v>
      </c>
      <c r="F7" s="673"/>
      <c r="G7" s="652" t="s">
        <v>906</v>
      </c>
      <c r="H7" s="652">
        <v>0</v>
      </c>
      <c r="I7" s="674">
        <v>0</v>
      </c>
      <c r="J7" s="674">
        <v>0</v>
      </c>
      <c r="K7" s="674">
        <v>0</v>
      </c>
      <c r="L7" s="671"/>
    </row>
    <row r="8" spans="2:12" ht="30" x14ac:dyDescent="0.25">
      <c r="B8" s="13" t="s">
        <v>1461</v>
      </c>
      <c r="C8" s="9" t="s">
        <v>907</v>
      </c>
      <c r="D8" s="675">
        <v>0</v>
      </c>
      <c r="E8" s="675">
        <v>0</v>
      </c>
      <c r="F8" s="649"/>
      <c r="G8" s="650" t="s">
        <v>906</v>
      </c>
      <c r="H8" s="650">
        <v>0</v>
      </c>
      <c r="I8" s="554">
        <v>0</v>
      </c>
      <c r="J8" s="554">
        <v>0</v>
      </c>
      <c r="K8" s="554">
        <v>0</v>
      </c>
      <c r="L8" s="671"/>
    </row>
    <row r="9" spans="2:12" x14ac:dyDescent="0.25">
      <c r="B9" s="13">
        <v>1</v>
      </c>
      <c r="C9" s="9" t="s">
        <v>908</v>
      </c>
      <c r="D9" s="554">
        <v>0</v>
      </c>
      <c r="E9" s="554">
        <v>0</v>
      </c>
      <c r="F9" s="676"/>
      <c r="G9" s="650" t="s">
        <v>906</v>
      </c>
      <c r="H9" s="650">
        <v>0</v>
      </c>
      <c r="I9" s="554">
        <v>0</v>
      </c>
      <c r="J9" s="554">
        <v>0</v>
      </c>
      <c r="K9" s="554">
        <v>0</v>
      </c>
      <c r="L9" s="671"/>
    </row>
    <row r="10" spans="2:12" ht="30" x14ac:dyDescent="0.25">
      <c r="B10" s="13">
        <v>2</v>
      </c>
      <c r="C10" s="677" t="s">
        <v>909</v>
      </c>
      <c r="D10" s="676"/>
      <c r="E10" s="676"/>
      <c r="F10" s="554">
        <v>0</v>
      </c>
      <c r="G10" s="554">
        <v>0</v>
      </c>
      <c r="H10" s="554">
        <v>0</v>
      </c>
      <c r="I10" s="554">
        <v>0</v>
      </c>
      <c r="J10" s="554">
        <v>0</v>
      </c>
      <c r="K10" s="554">
        <v>0</v>
      </c>
      <c r="L10" s="671"/>
    </row>
    <row r="11" spans="2:12" x14ac:dyDescent="0.25">
      <c r="B11" s="13" t="s">
        <v>910</v>
      </c>
      <c r="C11" s="638" t="s">
        <v>911</v>
      </c>
      <c r="D11" s="676"/>
      <c r="E11" s="676"/>
      <c r="F11" s="554">
        <v>0</v>
      </c>
      <c r="G11" s="676"/>
      <c r="H11" s="554">
        <v>0</v>
      </c>
      <c r="I11" s="554">
        <v>0</v>
      </c>
      <c r="J11" s="554">
        <v>0</v>
      </c>
      <c r="K11" s="554">
        <v>0</v>
      </c>
      <c r="L11" s="671"/>
    </row>
    <row r="12" spans="2:12" x14ac:dyDescent="0.25">
      <c r="B12" s="13" t="s">
        <v>912</v>
      </c>
      <c r="C12" s="638" t="s">
        <v>913</v>
      </c>
      <c r="D12" s="676"/>
      <c r="E12" s="676"/>
      <c r="F12" s="554">
        <v>0</v>
      </c>
      <c r="G12" s="676"/>
      <c r="H12" s="554">
        <v>0</v>
      </c>
      <c r="I12" s="554">
        <v>0</v>
      </c>
      <c r="J12" s="554">
        <v>0</v>
      </c>
      <c r="K12" s="554">
        <v>0</v>
      </c>
      <c r="L12" s="671"/>
    </row>
    <row r="13" spans="2:12" x14ac:dyDescent="0.25">
      <c r="B13" s="13" t="s">
        <v>914</v>
      </c>
      <c r="C13" s="638" t="s">
        <v>915</v>
      </c>
      <c r="D13" s="676"/>
      <c r="E13" s="676"/>
      <c r="F13" s="554">
        <v>0</v>
      </c>
      <c r="G13" s="676"/>
      <c r="H13" s="554">
        <v>0</v>
      </c>
      <c r="I13" s="554">
        <v>0</v>
      </c>
      <c r="J13" s="554">
        <v>0</v>
      </c>
      <c r="K13" s="554">
        <v>0</v>
      </c>
      <c r="L13" s="671"/>
    </row>
    <row r="14" spans="2:12" x14ac:dyDescent="0.25">
      <c r="B14" s="13">
        <v>3</v>
      </c>
      <c r="C14" s="677" t="s">
        <v>916</v>
      </c>
      <c r="D14" s="676"/>
      <c r="E14" s="676"/>
      <c r="F14" s="676"/>
      <c r="G14" s="676"/>
      <c r="H14" s="678">
        <v>0</v>
      </c>
      <c r="I14" s="554">
        <v>0</v>
      </c>
      <c r="J14" s="554">
        <v>0</v>
      </c>
      <c r="K14" s="554">
        <v>0</v>
      </c>
      <c r="L14" s="671"/>
    </row>
    <row r="15" spans="2:12" x14ac:dyDescent="0.25">
      <c r="B15" s="13">
        <v>4</v>
      </c>
      <c r="C15" s="677" t="s">
        <v>917</v>
      </c>
      <c r="D15" s="676"/>
      <c r="E15" s="676"/>
      <c r="F15" s="676"/>
      <c r="G15" s="676"/>
      <c r="H15" s="678">
        <v>0</v>
      </c>
      <c r="I15" s="554">
        <v>0</v>
      </c>
      <c r="J15" s="554">
        <v>0</v>
      </c>
      <c r="K15" s="554">
        <v>0</v>
      </c>
      <c r="L15" s="671"/>
    </row>
    <row r="16" spans="2:12" x14ac:dyDescent="0.25">
      <c r="B16" s="13">
        <v>5</v>
      </c>
      <c r="C16" s="677" t="s">
        <v>918</v>
      </c>
      <c r="D16" s="676"/>
      <c r="E16" s="676"/>
      <c r="F16" s="676"/>
      <c r="G16" s="676"/>
      <c r="H16" s="678">
        <v>0</v>
      </c>
      <c r="I16" s="554">
        <v>0</v>
      </c>
      <c r="J16" s="554">
        <v>0</v>
      </c>
      <c r="K16" s="554">
        <v>0</v>
      </c>
      <c r="L16" s="671"/>
    </row>
    <row r="17" spans="2:12" x14ac:dyDescent="0.25">
      <c r="B17" s="13">
        <v>6</v>
      </c>
      <c r="C17" s="54" t="s">
        <v>0</v>
      </c>
      <c r="D17" s="676"/>
      <c r="E17" s="676"/>
      <c r="F17" s="676"/>
      <c r="G17" s="676"/>
      <c r="H17" s="678">
        <f>SUM(H7:H16)</f>
        <v>0</v>
      </c>
      <c r="I17" s="678">
        <f t="shared" ref="I17:K17" si="0">SUM(I7:I16)</f>
        <v>0</v>
      </c>
      <c r="J17" s="678">
        <f t="shared" si="0"/>
        <v>0</v>
      </c>
      <c r="K17" s="678">
        <f t="shared" si="0"/>
        <v>0</v>
      </c>
      <c r="L17" s="671"/>
    </row>
    <row r="38" spans="12:12" ht="23.25" x14ac:dyDescent="0.35">
      <c r="L38" s="318"/>
    </row>
    <row r="39" spans="12:12" x14ac:dyDescent="0.25">
      <c r="L39" s="125"/>
    </row>
  </sheetData>
  <hyperlinks>
    <hyperlink ref="B2" location="Indhold!B55" display="Skema EU CCR1 - Analyse af modpartskreditrisikoeksponeringer efter metode" xr:uid="{9AEE254D-A1FE-4082-99F3-7D974576C180}"/>
  </hyperlinks>
  <pageMargins left="0.70866141732283472" right="0.70866141732283472" top="0.74803149606299213" bottom="0.74803149606299213" header="0.31496062992125984" footer="0.31496062992125984"/>
  <pageSetup paperSize="9" scale="67" orientation="landscape" r:id="rId1"/>
  <headerFooter>
    <oddHeader>&amp;CDA
Bilag XXV</oddHeader>
    <oddFooter>&amp;C&amp;P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38DD1-76B6-49AD-B72C-9210FA61AF1D}">
  <sheetPr>
    <tabColor rgb="FF0070C0"/>
  </sheetPr>
  <dimension ref="B2:N19"/>
  <sheetViews>
    <sheetView showGridLines="0" zoomScaleNormal="100" workbookViewId="0">
      <selection activeCell="B2" sqref="B2"/>
    </sheetView>
  </sheetViews>
  <sheetFormatPr defaultColWidth="9.140625" defaultRowHeight="15" x14ac:dyDescent="0.25"/>
  <cols>
    <col min="2" max="2" width="4" customWidth="1"/>
    <col min="3" max="3" width="31.5703125" customWidth="1"/>
    <col min="4" max="11" width="14.42578125" customWidth="1"/>
  </cols>
  <sheetData>
    <row r="2" spans="2:11" x14ac:dyDescent="0.25">
      <c r="B2" s="866" t="s">
        <v>988</v>
      </c>
    </row>
    <row r="3" spans="2:11" ht="15" customHeight="1" x14ac:dyDescent="0.3">
      <c r="B3" s="864" t="s">
        <v>935</v>
      </c>
      <c r="C3" s="276"/>
    </row>
    <row r="4" spans="2:11" ht="15" customHeight="1" x14ac:dyDescent="0.25"/>
    <row r="5" spans="2:11" x14ac:dyDescent="0.25">
      <c r="B5" s="505"/>
      <c r="C5" s="654"/>
      <c r="D5" s="656" t="s">
        <v>103</v>
      </c>
      <c r="E5" s="656" t="s">
        <v>102</v>
      </c>
      <c r="F5" s="656" t="s">
        <v>97</v>
      </c>
      <c r="G5" s="656" t="s">
        <v>96</v>
      </c>
      <c r="H5" s="656" t="s">
        <v>95</v>
      </c>
      <c r="I5" s="656" t="s">
        <v>111</v>
      </c>
      <c r="J5" s="656" t="s">
        <v>112</v>
      </c>
      <c r="K5" s="656" t="s">
        <v>164</v>
      </c>
    </row>
    <row r="6" spans="2:11" ht="15" customHeight="1" x14ac:dyDescent="0.25">
      <c r="B6" s="440"/>
      <c r="C6" s="683"/>
      <c r="D6" s="1163" t="s">
        <v>936</v>
      </c>
      <c r="E6" s="1163"/>
      <c r="F6" s="1163"/>
      <c r="G6" s="1163"/>
      <c r="H6" s="1163" t="s">
        <v>937</v>
      </c>
      <c r="I6" s="1163"/>
      <c r="J6" s="1163"/>
      <c r="K6" s="1163"/>
    </row>
    <row r="7" spans="2:11" ht="33" customHeight="1" x14ac:dyDescent="0.25">
      <c r="B7" s="440"/>
      <c r="C7" s="1164" t="s">
        <v>938</v>
      </c>
      <c r="D7" s="1163" t="s">
        <v>939</v>
      </c>
      <c r="E7" s="1163"/>
      <c r="F7" s="1163" t="s">
        <v>940</v>
      </c>
      <c r="G7" s="1163"/>
      <c r="H7" s="1163" t="s">
        <v>939</v>
      </c>
      <c r="I7" s="1163"/>
      <c r="J7" s="1163" t="s">
        <v>940</v>
      </c>
      <c r="K7" s="1163"/>
    </row>
    <row r="8" spans="2:11" x14ac:dyDescent="0.25">
      <c r="B8" s="440"/>
      <c r="C8" s="1165"/>
      <c r="D8" s="684" t="s">
        <v>941</v>
      </c>
      <c r="E8" s="684" t="s">
        <v>942</v>
      </c>
      <c r="F8" s="684" t="s">
        <v>941</v>
      </c>
      <c r="G8" s="684" t="s">
        <v>942</v>
      </c>
      <c r="H8" s="684" t="s">
        <v>941</v>
      </c>
      <c r="I8" s="684" t="s">
        <v>942</v>
      </c>
      <c r="J8" s="684" t="s">
        <v>941</v>
      </c>
      <c r="K8" s="684" t="s">
        <v>942</v>
      </c>
    </row>
    <row r="9" spans="2:11" s="687" customFormat="1" x14ac:dyDescent="0.25">
      <c r="B9" s="454">
        <v>1</v>
      </c>
      <c r="C9" s="685" t="s">
        <v>943</v>
      </c>
      <c r="D9" s="459">
        <v>0</v>
      </c>
      <c r="E9" s="459">
        <v>0</v>
      </c>
      <c r="F9" s="459">
        <v>0</v>
      </c>
      <c r="G9" s="459">
        <v>0</v>
      </c>
      <c r="H9" s="459">
        <v>0</v>
      </c>
      <c r="I9" s="459">
        <v>0</v>
      </c>
      <c r="J9" s="459">
        <v>0</v>
      </c>
      <c r="K9" s="459">
        <v>0</v>
      </c>
    </row>
    <row r="10" spans="2:11" s="687" customFormat="1" x14ac:dyDescent="0.25">
      <c r="B10" s="454">
        <v>2</v>
      </c>
      <c r="C10" s="9" t="s">
        <v>944</v>
      </c>
      <c r="D10" s="56">
        <v>0</v>
      </c>
      <c r="E10" s="56">
        <v>0</v>
      </c>
      <c r="F10" s="56">
        <v>0</v>
      </c>
      <c r="G10" s="56">
        <v>0</v>
      </c>
      <c r="H10" s="56">
        <v>0</v>
      </c>
      <c r="I10" s="56">
        <v>0</v>
      </c>
      <c r="J10" s="56">
        <v>0</v>
      </c>
      <c r="K10" s="56">
        <v>0</v>
      </c>
    </row>
    <row r="11" spans="2:11" s="687" customFormat="1" x14ac:dyDescent="0.25">
      <c r="B11" s="454">
        <v>3</v>
      </c>
      <c r="C11" s="9" t="s">
        <v>945</v>
      </c>
      <c r="D11" s="56">
        <v>0</v>
      </c>
      <c r="E11" s="56">
        <v>0</v>
      </c>
      <c r="F11" s="56">
        <v>0</v>
      </c>
      <c r="G11" s="56">
        <v>0</v>
      </c>
      <c r="H11" s="56">
        <v>0</v>
      </c>
      <c r="I11" s="56">
        <v>0</v>
      </c>
      <c r="J11" s="56">
        <v>0</v>
      </c>
      <c r="K11" s="56">
        <v>0</v>
      </c>
    </row>
    <row r="12" spans="2:11" s="687" customFormat="1" x14ac:dyDescent="0.25">
      <c r="B12" s="454">
        <v>4</v>
      </c>
      <c r="C12" s="9" t="s">
        <v>946</v>
      </c>
      <c r="D12" s="56">
        <v>0</v>
      </c>
      <c r="E12" s="56">
        <v>0</v>
      </c>
      <c r="F12" s="56">
        <v>0</v>
      </c>
      <c r="G12" s="56">
        <v>0</v>
      </c>
      <c r="H12" s="56">
        <v>0</v>
      </c>
      <c r="I12" s="56">
        <v>0</v>
      </c>
      <c r="J12" s="56">
        <v>0</v>
      </c>
      <c r="K12" s="56">
        <v>0</v>
      </c>
    </row>
    <row r="13" spans="2:11" s="687" customFormat="1" x14ac:dyDescent="0.25">
      <c r="B13" s="454">
        <v>5</v>
      </c>
      <c r="C13" s="9" t="s">
        <v>947</v>
      </c>
      <c r="D13" s="56">
        <v>0</v>
      </c>
      <c r="E13" s="56">
        <v>0</v>
      </c>
      <c r="F13" s="56">
        <v>0</v>
      </c>
      <c r="G13" s="56">
        <v>0</v>
      </c>
      <c r="H13" s="56">
        <v>0</v>
      </c>
      <c r="I13" s="56">
        <v>0</v>
      </c>
      <c r="J13" s="56">
        <v>0</v>
      </c>
      <c r="K13" s="56">
        <v>0</v>
      </c>
    </row>
    <row r="14" spans="2:11" s="687" customFormat="1" x14ac:dyDescent="0.25">
      <c r="B14" s="454">
        <v>6</v>
      </c>
      <c r="C14" s="9" t="s">
        <v>948</v>
      </c>
      <c r="D14" s="56">
        <v>0</v>
      </c>
      <c r="E14" s="56">
        <v>0</v>
      </c>
      <c r="F14" s="56">
        <v>0</v>
      </c>
      <c r="G14" s="56">
        <v>0</v>
      </c>
      <c r="H14" s="56">
        <v>0</v>
      </c>
      <c r="I14" s="56">
        <v>0</v>
      </c>
      <c r="J14" s="56">
        <v>0</v>
      </c>
      <c r="K14" s="56">
        <v>0</v>
      </c>
    </row>
    <row r="15" spans="2:11" s="687" customFormat="1" x14ac:dyDescent="0.25">
      <c r="B15" s="454">
        <v>7</v>
      </c>
      <c r="C15" s="9" t="s">
        <v>949</v>
      </c>
      <c r="D15" s="56">
        <v>0</v>
      </c>
      <c r="E15" s="56">
        <v>0</v>
      </c>
      <c r="F15" s="56">
        <v>0</v>
      </c>
      <c r="G15" s="56">
        <v>0</v>
      </c>
      <c r="H15" s="56">
        <v>0</v>
      </c>
      <c r="I15" s="56">
        <v>0</v>
      </c>
      <c r="J15" s="56">
        <v>0</v>
      </c>
      <c r="K15" s="56">
        <v>0</v>
      </c>
    </row>
    <row r="16" spans="2:11" s="687" customFormat="1" x14ac:dyDescent="0.25">
      <c r="B16" s="454">
        <v>8</v>
      </c>
      <c r="C16" s="9" t="s">
        <v>718</v>
      </c>
      <c r="D16" s="56">
        <v>0</v>
      </c>
      <c r="E16" s="56">
        <v>0</v>
      </c>
      <c r="F16" s="56">
        <v>0</v>
      </c>
      <c r="G16" s="56">
        <v>0</v>
      </c>
      <c r="H16" s="56">
        <v>0</v>
      </c>
      <c r="I16" s="56">
        <v>0</v>
      </c>
      <c r="J16" s="56">
        <v>0</v>
      </c>
      <c r="K16" s="56">
        <v>0</v>
      </c>
    </row>
    <row r="17" spans="2:14" s="687" customFormat="1" x14ac:dyDescent="0.25">
      <c r="B17" s="686">
        <v>9</v>
      </c>
      <c r="C17" s="54" t="s">
        <v>0</v>
      </c>
      <c r="D17" s="56">
        <v>0</v>
      </c>
      <c r="E17" s="56">
        <v>0</v>
      </c>
      <c r="F17" s="56">
        <v>0</v>
      </c>
      <c r="G17" s="56">
        <v>0</v>
      </c>
      <c r="H17" s="56">
        <v>0</v>
      </c>
      <c r="I17" s="56">
        <v>0</v>
      </c>
      <c r="J17" s="56">
        <v>0</v>
      </c>
      <c r="K17" s="56">
        <v>0</v>
      </c>
    </row>
    <row r="18" spans="2:14" s="687" customFormat="1" x14ac:dyDescent="0.25">
      <c r="C18" s="688"/>
      <c r="D18" s="688"/>
      <c r="E18" s="688"/>
      <c r="F18" s="688"/>
      <c r="G18" s="688"/>
      <c r="H18" s="688"/>
      <c r="I18" s="688"/>
      <c r="J18" s="688"/>
      <c r="K18" s="688"/>
    </row>
    <row r="19" spans="2:14" x14ac:dyDescent="0.25">
      <c r="N19" s="25"/>
    </row>
  </sheetData>
  <mergeCells count="7">
    <mergeCell ref="D6:G6"/>
    <mergeCell ref="H6:K6"/>
    <mergeCell ref="C7:C8"/>
    <mergeCell ref="D7:E7"/>
    <mergeCell ref="F7:G7"/>
    <mergeCell ref="H7:I7"/>
    <mergeCell ref="J7:K7"/>
  </mergeCells>
  <hyperlinks>
    <hyperlink ref="B2" location="Indhold!B56" display="Skema EU CCR5 — Sammensætning af sikkerhedsstillelse for modpartskreditrisikoeksponeringer" xr:uid="{342070C2-8B73-434C-9573-128A3626A631}"/>
  </hyperlinks>
  <pageMargins left="0.70866141732283472" right="0.70866141732283472" top="0.74803149606299213" bottom="0.74803149606299213" header="0.31496062992125984" footer="0.31496062992125984"/>
  <pageSetup paperSize="9" scale="90" fitToWidth="0" fitToHeight="0" orientation="landscape" r:id="rId1"/>
  <headerFooter>
    <oddHeader>&amp;CDA
Bilag XXV</oddHead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C30B1-727B-4532-ACEB-99C5BF08DA34}">
  <sheetPr>
    <tabColor rgb="FF0070C0"/>
  </sheetPr>
  <dimension ref="B2:I16"/>
  <sheetViews>
    <sheetView showGridLines="0" zoomScaleNormal="100" workbookViewId="0">
      <selection activeCell="B2" sqref="B2"/>
    </sheetView>
  </sheetViews>
  <sheetFormatPr defaultColWidth="9.140625" defaultRowHeight="15" x14ac:dyDescent="0.25"/>
  <cols>
    <col min="1" max="2" width="9.140625" style="663"/>
    <col min="3" max="3" width="39.42578125" style="663" bestFit="1" customWidth="1"/>
    <col min="4" max="5" width="18.140625" style="663" customWidth="1"/>
    <col min="6" max="16384" width="9.140625" style="663"/>
  </cols>
  <sheetData>
    <row r="2" spans="2:9" x14ac:dyDescent="0.25">
      <c r="B2" s="866" t="s">
        <v>950</v>
      </c>
    </row>
    <row r="3" spans="2:9" ht="15" customHeight="1" x14ac:dyDescent="0.25">
      <c r="B3" s="664" t="s">
        <v>951</v>
      </c>
    </row>
    <row r="4" spans="2:9" ht="15" customHeight="1" x14ac:dyDescent="0.25">
      <c r="C4" s="666"/>
      <c r="D4" s="665"/>
      <c r="E4" s="665"/>
    </row>
    <row r="5" spans="2:9" ht="20.100000000000001" customHeight="1" x14ac:dyDescent="0.25">
      <c r="B5" s="692"/>
      <c r="C5" s="689"/>
      <c r="D5" s="464" t="s">
        <v>103</v>
      </c>
      <c r="E5" s="464" t="s">
        <v>102</v>
      </c>
    </row>
    <row r="6" spans="2:9" ht="20.100000000000001" customHeight="1" x14ac:dyDescent="0.25">
      <c r="B6" s="692"/>
      <c r="C6" s="689"/>
      <c r="D6" s="464" t="s">
        <v>952</v>
      </c>
      <c r="E6" s="464" t="s">
        <v>953</v>
      </c>
    </row>
    <row r="7" spans="2:9" ht="20.100000000000001" customHeight="1" x14ac:dyDescent="0.25">
      <c r="B7" s="1166" t="s">
        <v>954</v>
      </c>
      <c r="C7" s="1167"/>
      <c r="D7" s="690"/>
      <c r="E7" s="690"/>
      <c r="I7" s="25"/>
    </row>
    <row r="8" spans="2:9" ht="20.100000000000001" customHeight="1" x14ac:dyDescent="0.25">
      <c r="B8" s="646">
        <v>1</v>
      </c>
      <c r="C8" s="693" t="s">
        <v>955</v>
      </c>
      <c r="D8" s="55">
        <v>0</v>
      </c>
      <c r="E8" s="55">
        <v>0</v>
      </c>
    </row>
    <row r="9" spans="2:9" ht="20.100000000000001" customHeight="1" x14ac:dyDescent="0.25">
      <c r="B9" s="646">
        <v>2</v>
      </c>
      <c r="C9" s="693" t="s">
        <v>956</v>
      </c>
      <c r="D9" s="55">
        <v>0</v>
      </c>
      <c r="E9" s="55">
        <v>0</v>
      </c>
    </row>
    <row r="10" spans="2:9" ht="20.100000000000001" customHeight="1" x14ac:dyDescent="0.25">
      <c r="B10" s="646">
        <v>3</v>
      </c>
      <c r="C10" s="693" t="s">
        <v>957</v>
      </c>
      <c r="D10" s="55">
        <v>0</v>
      </c>
      <c r="E10" s="55">
        <v>0</v>
      </c>
    </row>
    <row r="11" spans="2:9" ht="20.100000000000001" customHeight="1" x14ac:dyDescent="0.25">
      <c r="B11" s="646">
        <v>4</v>
      </c>
      <c r="C11" s="693" t="s">
        <v>958</v>
      </c>
      <c r="D11" s="55">
        <v>0</v>
      </c>
      <c r="E11" s="55">
        <v>0</v>
      </c>
    </row>
    <row r="12" spans="2:9" ht="20.100000000000001" customHeight="1" x14ac:dyDescent="0.25">
      <c r="B12" s="646">
        <v>5</v>
      </c>
      <c r="C12" s="693" t="s">
        <v>959</v>
      </c>
      <c r="D12" s="55">
        <v>0</v>
      </c>
      <c r="E12" s="55">
        <v>0</v>
      </c>
    </row>
    <row r="13" spans="2:9" ht="20.100000000000001" customHeight="1" x14ac:dyDescent="0.25">
      <c r="B13" s="646">
        <v>6</v>
      </c>
      <c r="C13" s="691" t="s">
        <v>960</v>
      </c>
      <c r="D13" s="55">
        <v>0</v>
      </c>
      <c r="E13" s="55">
        <v>0</v>
      </c>
    </row>
    <row r="14" spans="2:9" ht="20.100000000000001" customHeight="1" x14ac:dyDescent="0.25">
      <c r="B14" s="1166" t="s">
        <v>961</v>
      </c>
      <c r="C14" s="1167"/>
      <c r="D14" s="523"/>
      <c r="E14" s="523"/>
    </row>
    <row r="15" spans="2:9" ht="20.100000000000001" customHeight="1" x14ac:dyDescent="0.25">
      <c r="B15" s="13">
        <v>7</v>
      </c>
      <c r="C15" s="693" t="s">
        <v>962</v>
      </c>
      <c r="D15" s="55">
        <v>0</v>
      </c>
      <c r="E15" s="55">
        <v>0</v>
      </c>
      <c r="I15" s="25"/>
    </row>
    <row r="16" spans="2:9" ht="20.100000000000001" customHeight="1" x14ac:dyDescent="0.25">
      <c r="B16" s="13">
        <v>8</v>
      </c>
      <c r="C16" s="693" t="s">
        <v>963</v>
      </c>
      <c r="D16" s="55">
        <v>0</v>
      </c>
      <c r="E16" s="55">
        <v>0</v>
      </c>
    </row>
  </sheetData>
  <mergeCells count="2">
    <mergeCell ref="B7:C7"/>
    <mergeCell ref="B14:C14"/>
  </mergeCells>
  <hyperlinks>
    <hyperlink ref="B2" location="Indhold!B57" display="Skema EU CCR6 – Eksponering for kreditderivater" xr:uid="{33282EF8-5373-4FE2-B74F-2742D86F7B51}"/>
  </hyperlinks>
  <pageMargins left="0.70866141732283472" right="0.70866141732283472" top="0.74803149606299213" bottom="0.74803149606299213" header="0.31496062992125984" footer="0.31496062992125984"/>
  <pageSetup paperSize="9" fitToWidth="0" fitToHeight="0" orientation="landscape" r:id="rId1"/>
  <headerFooter>
    <oddHeader>&amp;CDA
Bilag XXV</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02752-CBA3-46EA-A3D2-9B43B933C1DB}">
  <dimension ref="A1:G44"/>
  <sheetViews>
    <sheetView showGridLines="0" zoomScaleNormal="100" workbookViewId="0">
      <selection activeCell="F1" sqref="F1"/>
    </sheetView>
  </sheetViews>
  <sheetFormatPr defaultColWidth="9.140625" defaultRowHeight="15" x14ac:dyDescent="0.25"/>
  <cols>
    <col min="1" max="1" width="4.85546875" style="1" customWidth="1"/>
    <col min="2" max="2" width="7.85546875" style="1" customWidth="1"/>
    <col min="3" max="3" width="64.42578125" style="1" customWidth="1"/>
    <col min="4" max="4" width="13.85546875" style="2" customWidth="1"/>
    <col min="5" max="5" width="14.140625" style="2" customWidth="1"/>
    <col min="6" max="6" width="17.42578125" style="1" customWidth="1"/>
    <col min="7" max="7" width="9.140625" style="1" customWidth="1"/>
    <col min="8" max="16384" width="9.140625" style="1"/>
  </cols>
  <sheetData>
    <row r="1" spans="1:6" x14ac:dyDescent="0.25">
      <c r="A1" s="7"/>
      <c r="B1" s="7"/>
      <c r="C1" s="7"/>
      <c r="D1" s="7"/>
      <c r="E1" s="7"/>
    </row>
    <row r="2" spans="1:6" ht="18.75" x14ac:dyDescent="0.3">
      <c r="A2" s="7"/>
      <c r="B2" s="416" t="s">
        <v>36</v>
      </c>
      <c r="D2" s="1"/>
      <c r="E2" s="7"/>
    </row>
    <row r="3" spans="1:6" x14ac:dyDescent="0.25">
      <c r="A3" s="7"/>
      <c r="D3" s="1"/>
      <c r="E3" s="1"/>
    </row>
    <row r="4" spans="1:6" x14ac:dyDescent="0.25">
      <c r="A4" s="7"/>
      <c r="D4" s="1"/>
      <c r="E4" s="1"/>
    </row>
    <row r="5" spans="1:6" ht="45" x14ac:dyDescent="0.25">
      <c r="A5" s="7"/>
      <c r="B5" s="933"/>
      <c r="C5" s="934"/>
      <c r="D5" s="931" t="s">
        <v>35</v>
      </c>
      <c r="E5" s="932"/>
      <c r="F5" s="464" t="s">
        <v>1245</v>
      </c>
    </row>
    <row r="6" spans="1:6" x14ac:dyDescent="0.25">
      <c r="A6" s="7"/>
      <c r="B6" s="933"/>
      <c r="C6" s="934"/>
      <c r="D6" s="768" t="s">
        <v>1456</v>
      </c>
      <c r="E6" s="768" t="s">
        <v>1456</v>
      </c>
      <c r="F6" s="464" t="s">
        <v>34</v>
      </c>
    </row>
    <row r="7" spans="1:6" x14ac:dyDescent="0.25">
      <c r="A7" s="7"/>
      <c r="B7" s="935"/>
      <c r="C7" s="935"/>
      <c r="D7" s="464">
        <v>2024</v>
      </c>
      <c r="E7" s="464">
        <v>2023</v>
      </c>
      <c r="F7" s="464">
        <v>2024</v>
      </c>
    </row>
    <row r="8" spans="1:6" x14ac:dyDescent="0.25">
      <c r="A8" s="7"/>
      <c r="B8" s="10">
        <v>1</v>
      </c>
      <c r="C8" s="9" t="s">
        <v>33</v>
      </c>
      <c r="D8" s="679">
        <f>(3629243200-2227656)/1000</f>
        <v>3627015.5440000002</v>
      </c>
      <c r="E8" s="679">
        <f>(3308371639-1668536)/1000</f>
        <v>3306703.1030000001</v>
      </c>
      <c r="F8" s="679">
        <f t="shared" ref="F8:F20" si="0">+D8*0.08</f>
        <v>290161.24352000002</v>
      </c>
    </row>
    <row r="9" spans="1:6" x14ac:dyDescent="0.25">
      <c r="A9" s="7"/>
      <c r="B9" s="10">
        <v>2</v>
      </c>
      <c r="C9" s="11" t="s">
        <v>5</v>
      </c>
      <c r="D9" s="3">
        <f>+D8</f>
        <v>3627015.5440000002</v>
      </c>
      <c r="E9" s="3">
        <f>+E8</f>
        <v>3306703.1030000001</v>
      </c>
      <c r="F9" s="3">
        <f t="shared" si="0"/>
        <v>290161.24352000002</v>
      </c>
    </row>
    <row r="10" spans="1:6" ht="30" x14ac:dyDescent="0.25">
      <c r="A10" s="7"/>
      <c r="B10" s="10">
        <v>3</v>
      </c>
      <c r="C10" s="11" t="s">
        <v>32</v>
      </c>
      <c r="D10" s="3">
        <v>0</v>
      </c>
      <c r="E10" s="3">
        <v>0</v>
      </c>
      <c r="F10" s="3">
        <f t="shared" si="0"/>
        <v>0</v>
      </c>
    </row>
    <row r="11" spans="1:6" x14ac:dyDescent="0.25">
      <c r="A11" s="7"/>
      <c r="B11" s="10">
        <v>4</v>
      </c>
      <c r="C11" s="11" t="s">
        <v>31</v>
      </c>
      <c r="D11" s="3">
        <v>0</v>
      </c>
      <c r="E11" s="3">
        <v>0</v>
      </c>
      <c r="F11" s="3">
        <f t="shared" si="0"/>
        <v>0</v>
      </c>
    </row>
    <row r="12" spans="1:6" x14ac:dyDescent="0.25">
      <c r="A12" s="7"/>
      <c r="B12" s="10" t="s">
        <v>30</v>
      </c>
      <c r="C12" s="11" t="s">
        <v>29</v>
      </c>
      <c r="D12" s="3">
        <v>0</v>
      </c>
      <c r="E12" s="3">
        <v>0</v>
      </c>
      <c r="F12" s="3">
        <f t="shared" si="0"/>
        <v>0</v>
      </c>
    </row>
    <row r="13" spans="1:6" ht="30" x14ac:dyDescent="0.25">
      <c r="A13" s="7"/>
      <c r="B13" s="10">
        <v>5</v>
      </c>
      <c r="C13" s="11" t="s">
        <v>28</v>
      </c>
      <c r="D13" s="3">
        <v>0</v>
      </c>
      <c r="E13" s="3">
        <v>0</v>
      </c>
      <c r="F13" s="3">
        <f t="shared" si="0"/>
        <v>0</v>
      </c>
    </row>
    <row r="14" spans="1:6" x14ac:dyDescent="0.25">
      <c r="A14" s="7"/>
      <c r="B14" s="10">
        <v>6</v>
      </c>
      <c r="C14" s="9" t="s">
        <v>27</v>
      </c>
      <c r="D14" s="3">
        <f>(2227656+2996340)/1000</f>
        <v>5223.9960000000001</v>
      </c>
      <c r="E14" s="3">
        <f>(1668536+1976010)/1000</f>
        <v>3644.5459999999998</v>
      </c>
      <c r="F14" s="3">
        <f t="shared" si="0"/>
        <v>417.91968000000003</v>
      </c>
    </row>
    <row r="15" spans="1:6" x14ac:dyDescent="0.25">
      <c r="A15" s="7"/>
      <c r="B15" s="10">
        <v>7</v>
      </c>
      <c r="C15" s="11" t="s">
        <v>5</v>
      </c>
      <c r="D15" s="3">
        <v>0</v>
      </c>
      <c r="E15" s="3">
        <v>0</v>
      </c>
      <c r="F15" s="3">
        <f t="shared" si="0"/>
        <v>0</v>
      </c>
    </row>
    <row r="16" spans="1:6" x14ac:dyDescent="0.25">
      <c r="A16" s="7"/>
      <c r="B16" s="10">
        <v>8</v>
      </c>
      <c r="C16" s="11" t="s">
        <v>26</v>
      </c>
      <c r="D16" s="3">
        <v>0</v>
      </c>
      <c r="E16" s="3">
        <v>0</v>
      </c>
      <c r="F16" s="3">
        <f t="shared" si="0"/>
        <v>0</v>
      </c>
    </row>
    <row r="17" spans="1:7" x14ac:dyDescent="0.25">
      <c r="A17" s="7"/>
      <c r="B17" s="10" t="s">
        <v>25</v>
      </c>
      <c r="C17" s="11" t="s">
        <v>24</v>
      </c>
      <c r="D17" s="3">
        <v>0</v>
      </c>
      <c r="E17" s="3">
        <v>0</v>
      </c>
      <c r="F17" s="3">
        <f t="shared" si="0"/>
        <v>0</v>
      </c>
      <c r="G17" s="12"/>
    </row>
    <row r="18" spans="1:7" x14ac:dyDescent="0.25">
      <c r="A18" s="7"/>
      <c r="B18" s="10" t="s">
        <v>23</v>
      </c>
      <c r="C18" s="11" t="s">
        <v>22</v>
      </c>
      <c r="D18" s="3">
        <f>2996340/1000</f>
        <v>2996.34</v>
      </c>
      <c r="E18" s="3">
        <f>1976010/1000</f>
        <v>1976.01</v>
      </c>
      <c r="F18" s="3">
        <f t="shared" si="0"/>
        <v>239.70720000000003</v>
      </c>
    </row>
    <row r="19" spans="1:7" x14ac:dyDescent="0.25">
      <c r="A19" s="7"/>
      <c r="B19" s="10">
        <v>9</v>
      </c>
      <c r="C19" s="11" t="s">
        <v>21</v>
      </c>
      <c r="D19" s="3">
        <f>+D14-D15-D16-D17-D18</f>
        <v>2227.6559999999999</v>
      </c>
      <c r="E19" s="3">
        <f>+E14-E15-E16-E17-E18</f>
        <v>1668.5359999999998</v>
      </c>
      <c r="F19" s="3">
        <f t="shared" si="0"/>
        <v>178.21248</v>
      </c>
    </row>
    <row r="20" spans="1:7" x14ac:dyDescent="0.25">
      <c r="A20" s="7"/>
      <c r="B20" s="10">
        <v>10</v>
      </c>
      <c r="C20" s="9" t="s">
        <v>1</v>
      </c>
      <c r="D20" s="8"/>
      <c r="E20" s="8"/>
      <c r="F20" s="8">
        <f t="shared" si="0"/>
        <v>0</v>
      </c>
    </row>
    <row r="21" spans="1:7" x14ac:dyDescent="0.25">
      <c r="A21" s="7"/>
      <c r="B21" s="10">
        <v>11</v>
      </c>
      <c r="C21" s="9" t="s">
        <v>1</v>
      </c>
      <c r="D21" s="8"/>
      <c r="E21" s="8"/>
      <c r="F21" s="8"/>
    </row>
    <row r="22" spans="1:7" x14ac:dyDescent="0.25">
      <c r="A22" s="7"/>
      <c r="B22" s="10">
        <v>12</v>
      </c>
      <c r="C22" s="9" t="s">
        <v>1</v>
      </c>
      <c r="D22" s="8"/>
      <c r="E22" s="8"/>
      <c r="F22" s="8"/>
    </row>
    <row r="23" spans="1:7" x14ac:dyDescent="0.25">
      <c r="A23" s="7"/>
      <c r="B23" s="10">
        <v>13</v>
      </c>
      <c r="C23" s="9" t="s">
        <v>1</v>
      </c>
      <c r="D23" s="8"/>
      <c r="E23" s="8"/>
      <c r="F23" s="8"/>
    </row>
    <row r="24" spans="1:7" x14ac:dyDescent="0.25">
      <c r="A24" s="7"/>
      <c r="B24" s="10">
        <v>14</v>
      </c>
      <c r="C24" s="9" t="s">
        <v>1</v>
      </c>
      <c r="D24" s="8"/>
      <c r="E24" s="8"/>
      <c r="F24" s="8"/>
    </row>
    <row r="25" spans="1:7" x14ac:dyDescent="0.25">
      <c r="A25" s="7"/>
      <c r="B25" s="10">
        <v>15</v>
      </c>
      <c r="C25" s="9" t="s">
        <v>20</v>
      </c>
      <c r="D25" s="3">
        <v>0</v>
      </c>
      <c r="E25" s="3">
        <v>0</v>
      </c>
      <c r="F25" s="3">
        <f t="shared" ref="F25:F39" si="1">+D25*0.08</f>
        <v>0</v>
      </c>
    </row>
    <row r="26" spans="1:7" ht="15" customHeight="1" x14ac:dyDescent="0.25">
      <c r="A26" s="7"/>
      <c r="B26" s="10">
        <v>16</v>
      </c>
      <c r="C26" s="9" t="s">
        <v>19</v>
      </c>
      <c r="D26" s="3">
        <v>0</v>
      </c>
      <c r="E26" s="3">
        <v>0</v>
      </c>
      <c r="F26" s="3">
        <f t="shared" si="1"/>
        <v>0</v>
      </c>
    </row>
    <row r="27" spans="1:7" x14ac:dyDescent="0.25">
      <c r="A27" s="7"/>
      <c r="B27" s="10">
        <v>17</v>
      </c>
      <c r="C27" s="11" t="s">
        <v>18</v>
      </c>
      <c r="D27" s="3">
        <v>0</v>
      </c>
      <c r="E27" s="3">
        <v>0</v>
      </c>
      <c r="F27" s="3">
        <f t="shared" si="1"/>
        <v>0</v>
      </c>
    </row>
    <row r="28" spans="1:7" x14ac:dyDescent="0.25">
      <c r="A28" s="7"/>
      <c r="B28" s="10">
        <v>18</v>
      </c>
      <c r="C28" s="11" t="s">
        <v>17</v>
      </c>
      <c r="D28" s="3">
        <v>0</v>
      </c>
      <c r="E28" s="3">
        <v>0</v>
      </c>
      <c r="F28" s="3">
        <f t="shared" si="1"/>
        <v>0</v>
      </c>
    </row>
    <row r="29" spans="1:7" x14ac:dyDescent="0.25">
      <c r="A29" s="7"/>
      <c r="B29" s="10">
        <v>19</v>
      </c>
      <c r="C29" s="11" t="s">
        <v>16</v>
      </c>
      <c r="D29" s="3">
        <v>0</v>
      </c>
      <c r="E29" s="3">
        <v>0</v>
      </c>
      <c r="F29" s="3">
        <f t="shared" si="1"/>
        <v>0</v>
      </c>
    </row>
    <row r="30" spans="1:7" x14ac:dyDescent="0.25">
      <c r="A30" s="7"/>
      <c r="B30" s="10" t="s">
        <v>15</v>
      </c>
      <c r="C30" s="11" t="s">
        <v>14</v>
      </c>
      <c r="D30" s="3">
        <v>0</v>
      </c>
      <c r="E30" s="3">
        <v>0</v>
      </c>
      <c r="F30" s="3">
        <f t="shared" si="1"/>
        <v>0</v>
      </c>
    </row>
    <row r="31" spans="1:7" x14ac:dyDescent="0.25">
      <c r="A31" s="7"/>
      <c r="B31" s="10">
        <v>20</v>
      </c>
      <c r="C31" s="9" t="s">
        <v>13</v>
      </c>
      <c r="D31" s="3">
        <f>728749833/1000</f>
        <v>728749.83299999998</v>
      </c>
      <c r="E31" s="3">
        <f>535685851/1000</f>
        <v>535685.85100000002</v>
      </c>
      <c r="F31" s="3">
        <f t="shared" si="1"/>
        <v>58299.986640000003</v>
      </c>
    </row>
    <row r="32" spans="1:7" x14ac:dyDescent="0.25">
      <c r="A32" s="7"/>
      <c r="B32" s="10">
        <v>21</v>
      </c>
      <c r="C32" s="11" t="s">
        <v>5</v>
      </c>
      <c r="D32" s="3">
        <f>+D31</f>
        <v>728749.83299999998</v>
      </c>
      <c r="E32" s="3">
        <f>+E31</f>
        <v>535685.85100000002</v>
      </c>
      <c r="F32" s="3">
        <f t="shared" si="1"/>
        <v>58299.986640000003</v>
      </c>
    </row>
    <row r="33" spans="1:6" x14ac:dyDescent="0.25">
      <c r="A33" s="7"/>
      <c r="B33" s="10">
        <v>22</v>
      </c>
      <c r="C33" s="11" t="s">
        <v>12</v>
      </c>
      <c r="D33" s="3">
        <v>0</v>
      </c>
      <c r="E33" s="3">
        <v>0</v>
      </c>
      <c r="F33" s="3">
        <f t="shared" si="1"/>
        <v>0</v>
      </c>
    </row>
    <row r="34" spans="1:6" x14ac:dyDescent="0.25">
      <c r="A34" s="7"/>
      <c r="B34" s="10" t="s">
        <v>11</v>
      </c>
      <c r="C34" s="9" t="s">
        <v>10</v>
      </c>
      <c r="D34" s="3">
        <v>0</v>
      </c>
      <c r="E34" s="3">
        <v>0</v>
      </c>
      <c r="F34" s="3">
        <f t="shared" si="1"/>
        <v>0</v>
      </c>
    </row>
    <row r="35" spans="1:6" x14ac:dyDescent="0.25">
      <c r="A35" s="7"/>
      <c r="B35" s="10">
        <v>23</v>
      </c>
      <c r="C35" s="9" t="s">
        <v>9</v>
      </c>
      <c r="D35" s="8">
        <f>775464116/1000</f>
        <v>775464.11600000004</v>
      </c>
      <c r="E35" s="8">
        <f>642592133/1000</f>
        <v>642592.13300000003</v>
      </c>
      <c r="F35" s="3">
        <f t="shared" si="1"/>
        <v>62037.129280000001</v>
      </c>
    </row>
    <row r="36" spans="1:6" x14ac:dyDescent="0.25">
      <c r="A36" s="7"/>
      <c r="B36" s="10" t="s">
        <v>8</v>
      </c>
      <c r="C36" s="9" t="s">
        <v>7</v>
      </c>
      <c r="D36" s="3">
        <f>+D35</f>
        <v>775464.11600000004</v>
      </c>
      <c r="E36" s="3">
        <f>+E35</f>
        <v>642592.13300000003</v>
      </c>
      <c r="F36" s="3">
        <f t="shared" si="1"/>
        <v>62037.129280000001</v>
      </c>
    </row>
    <row r="37" spans="1:6" x14ac:dyDescent="0.25">
      <c r="A37" s="7"/>
      <c r="B37" s="10" t="s">
        <v>6</v>
      </c>
      <c r="C37" s="9" t="s">
        <v>5</v>
      </c>
      <c r="D37" s="3">
        <v>0</v>
      </c>
      <c r="E37" s="3">
        <v>0</v>
      </c>
      <c r="F37" s="3">
        <f t="shared" si="1"/>
        <v>0</v>
      </c>
    </row>
    <row r="38" spans="1:6" x14ac:dyDescent="0.25">
      <c r="A38" s="7"/>
      <c r="B38" s="10" t="s">
        <v>4</v>
      </c>
      <c r="C38" s="9" t="s">
        <v>3</v>
      </c>
      <c r="D38" s="3">
        <v>0</v>
      </c>
      <c r="E38" s="3">
        <v>0</v>
      </c>
      <c r="F38" s="3">
        <f t="shared" si="1"/>
        <v>0</v>
      </c>
    </row>
    <row r="39" spans="1:6" ht="30" x14ac:dyDescent="0.25">
      <c r="A39" s="7"/>
      <c r="B39" s="10">
        <v>24</v>
      </c>
      <c r="C39" s="9" t="s">
        <v>2</v>
      </c>
      <c r="D39" s="3">
        <v>0</v>
      </c>
      <c r="E39" s="3">
        <v>0</v>
      </c>
      <c r="F39" s="3">
        <f t="shared" si="1"/>
        <v>0</v>
      </c>
    </row>
    <row r="40" spans="1:6" x14ac:dyDescent="0.25">
      <c r="A40" s="7"/>
      <c r="B40" s="10">
        <v>25</v>
      </c>
      <c r="C40" s="9" t="s">
        <v>1</v>
      </c>
      <c r="D40" s="8"/>
      <c r="E40" s="8"/>
      <c r="F40" s="8"/>
    </row>
    <row r="41" spans="1:6" x14ac:dyDescent="0.25">
      <c r="A41" s="7"/>
      <c r="B41" s="10">
        <v>26</v>
      </c>
      <c r="C41" s="9" t="s">
        <v>1</v>
      </c>
      <c r="D41" s="8"/>
      <c r="E41" s="8"/>
      <c r="F41" s="8"/>
    </row>
    <row r="42" spans="1:6" x14ac:dyDescent="0.25">
      <c r="A42" s="7"/>
      <c r="B42" s="10">
        <v>27</v>
      </c>
      <c r="C42" s="9" t="s">
        <v>1</v>
      </c>
      <c r="D42" s="8"/>
      <c r="E42" s="8"/>
      <c r="F42" s="8"/>
    </row>
    <row r="43" spans="1:6" x14ac:dyDescent="0.25">
      <c r="A43" s="7"/>
      <c r="B43" s="10">
        <v>28</v>
      </c>
      <c r="C43" s="9" t="s">
        <v>1</v>
      </c>
      <c r="D43" s="8"/>
      <c r="E43" s="8"/>
      <c r="F43" s="8"/>
    </row>
    <row r="44" spans="1:6" x14ac:dyDescent="0.25">
      <c r="A44" s="7"/>
      <c r="B44" s="6">
        <v>29</v>
      </c>
      <c r="C44" s="5" t="s">
        <v>0</v>
      </c>
      <c r="D44" s="4">
        <f>+D8+D14+D25+D26+D31+D34+D35</f>
        <v>5136453.4890000001</v>
      </c>
      <c r="E44" s="4">
        <f>+E8+E14+E25+E26+E31+E34+E35</f>
        <v>4488625.6330000004</v>
      </c>
      <c r="F44" s="3">
        <f>+D44*0.08</f>
        <v>410916.27912000002</v>
      </c>
    </row>
  </sheetData>
  <mergeCells count="2">
    <mergeCell ref="D5:E5"/>
    <mergeCell ref="B5:C7"/>
  </mergeCells>
  <hyperlinks>
    <hyperlink ref="B2" location="Indhold!B4" display="Skema EU OV1 – Oversigt over samlede risikoeksponeringer" xr:uid="{3494BFF6-8210-47A4-9089-286BC6490730}"/>
  </hyperlinks>
  <pageMargins left="0.7" right="0.7" top="0.75" bottom="0.75" header="0.3" footer="0.3"/>
  <pageSetup paperSize="9" orientation="landscape" r:id="rId1"/>
  <headerFooter>
    <oddHeader>&amp;CDA
Bilag I</oddHeader>
    <oddFooter>&amp;C&amp;P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794B8-B577-4BF1-ADE9-D7101BA09EF1}">
  <sheetPr>
    <tabColor rgb="FF0070C0"/>
    <pageSetUpPr fitToPage="1"/>
  </sheetPr>
  <dimension ref="B2:E26"/>
  <sheetViews>
    <sheetView showGridLines="0" zoomScaleNormal="100" workbookViewId="0">
      <selection activeCell="B2" sqref="B2"/>
    </sheetView>
  </sheetViews>
  <sheetFormatPr defaultColWidth="9.140625" defaultRowHeight="15" x14ac:dyDescent="0.25"/>
  <cols>
    <col min="1" max="2" width="9.140625" style="1"/>
    <col min="3" max="3" width="86.7109375" style="1" customWidth="1"/>
    <col min="4" max="4" width="16.85546875" style="1" customWidth="1"/>
    <col min="5" max="5" width="18.7109375" style="1" customWidth="1"/>
    <col min="6" max="16384" width="9.140625" style="1"/>
  </cols>
  <sheetData>
    <row r="2" spans="2:5" x14ac:dyDescent="0.25">
      <c r="B2" s="866" t="s">
        <v>974</v>
      </c>
    </row>
    <row r="3" spans="2:5" ht="15" customHeight="1" x14ac:dyDescent="0.25">
      <c r="B3" s="334" t="s">
        <v>902</v>
      </c>
    </row>
    <row r="4" spans="2:5" ht="15" customHeight="1" x14ac:dyDescent="0.25">
      <c r="B4" s="335"/>
      <c r="C4" s="336"/>
      <c r="D4" s="335"/>
      <c r="E4" s="335"/>
    </row>
    <row r="5" spans="2:5" ht="20.100000000000001" customHeight="1" x14ac:dyDescent="0.25">
      <c r="B5" s="825"/>
      <c r="C5" s="826"/>
      <c r="D5" s="829" t="s">
        <v>103</v>
      </c>
      <c r="E5" s="829" t="s">
        <v>102</v>
      </c>
    </row>
    <row r="6" spans="2:5" ht="30" customHeight="1" x14ac:dyDescent="0.25">
      <c r="B6" s="825"/>
      <c r="C6" s="826"/>
      <c r="D6" s="817" t="s">
        <v>975</v>
      </c>
      <c r="E6" s="817" t="s">
        <v>90</v>
      </c>
    </row>
    <row r="7" spans="2:5" ht="20.100000000000001" customHeight="1" x14ac:dyDescent="0.25">
      <c r="B7" s="333">
        <v>1</v>
      </c>
      <c r="C7" s="320" t="s">
        <v>976</v>
      </c>
      <c r="D7" s="827"/>
      <c r="E7" s="828">
        <v>0</v>
      </c>
    </row>
    <row r="8" spans="2:5" ht="29.25" customHeight="1" x14ac:dyDescent="0.25">
      <c r="B8" s="314">
        <v>2</v>
      </c>
      <c r="C8" s="316" t="s">
        <v>977</v>
      </c>
      <c r="D8" s="338">
        <v>0</v>
      </c>
      <c r="E8" s="338">
        <v>0</v>
      </c>
    </row>
    <row r="9" spans="2:5" ht="20.100000000000001" customHeight="1" x14ac:dyDescent="0.25">
      <c r="B9" s="314">
        <v>3</v>
      </c>
      <c r="C9" s="316" t="s">
        <v>978</v>
      </c>
      <c r="D9" s="338">
        <v>0</v>
      </c>
      <c r="E9" s="338">
        <v>0</v>
      </c>
    </row>
    <row r="10" spans="2:5" ht="20.100000000000001" customHeight="1" x14ac:dyDescent="0.25">
      <c r="B10" s="314">
        <v>4</v>
      </c>
      <c r="C10" s="316" t="s">
        <v>979</v>
      </c>
      <c r="D10" s="338">
        <v>0</v>
      </c>
      <c r="E10" s="338">
        <v>0</v>
      </c>
    </row>
    <row r="11" spans="2:5" ht="20.100000000000001" customHeight="1" x14ac:dyDescent="0.25">
      <c r="B11" s="314">
        <v>5</v>
      </c>
      <c r="C11" s="316" t="s">
        <v>980</v>
      </c>
      <c r="D11" s="338">
        <v>0</v>
      </c>
      <c r="E11" s="338">
        <v>0</v>
      </c>
    </row>
    <row r="12" spans="2:5" ht="20.100000000000001" customHeight="1" x14ac:dyDescent="0.25">
      <c r="B12" s="314">
        <v>6</v>
      </c>
      <c r="C12" s="316" t="s">
        <v>981</v>
      </c>
      <c r="D12" s="338">
        <v>0</v>
      </c>
      <c r="E12" s="338">
        <v>0</v>
      </c>
    </row>
    <row r="13" spans="2:5" ht="20.100000000000001" customHeight="1" x14ac:dyDescent="0.25">
      <c r="B13" s="314">
        <v>7</v>
      </c>
      <c r="C13" s="316" t="s">
        <v>982</v>
      </c>
      <c r="D13" s="338">
        <v>0</v>
      </c>
      <c r="E13" s="337"/>
    </row>
    <row r="14" spans="2:5" ht="20.100000000000001" customHeight="1" x14ac:dyDescent="0.25">
      <c r="B14" s="314">
        <v>8</v>
      </c>
      <c r="C14" s="316" t="s">
        <v>983</v>
      </c>
      <c r="D14" s="338">
        <v>0</v>
      </c>
      <c r="E14" s="338">
        <v>0</v>
      </c>
    </row>
    <row r="15" spans="2:5" ht="20.100000000000001" customHeight="1" x14ac:dyDescent="0.25">
      <c r="B15" s="314">
        <v>9</v>
      </c>
      <c r="C15" s="316" t="s">
        <v>984</v>
      </c>
      <c r="D15" s="338">
        <v>0</v>
      </c>
      <c r="E15" s="338">
        <v>0</v>
      </c>
    </row>
    <row r="16" spans="2:5" ht="20.100000000000001" customHeight="1" x14ac:dyDescent="0.25">
      <c r="B16" s="314">
        <v>10</v>
      </c>
      <c r="C16" s="316" t="s">
        <v>985</v>
      </c>
      <c r="D16" s="338">
        <v>0</v>
      </c>
      <c r="E16" s="338">
        <v>0</v>
      </c>
    </row>
    <row r="17" spans="2:5" ht="20.100000000000001" customHeight="1" x14ac:dyDescent="0.25">
      <c r="B17" s="333">
        <v>11</v>
      </c>
      <c r="C17" s="323" t="s">
        <v>986</v>
      </c>
      <c r="D17" s="337"/>
      <c r="E17" s="338">
        <v>0</v>
      </c>
    </row>
    <row r="18" spans="2:5" ht="32.25" customHeight="1" x14ac:dyDescent="0.25">
      <c r="B18" s="314">
        <v>12</v>
      </c>
      <c r="C18" s="316" t="s">
        <v>987</v>
      </c>
      <c r="D18" s="338">
        <v>0</v>
      </c>
      <c r="E18" s="338">
        <v>0</v>
      </c>
    </row>
    <row r="19" spans="2:5" ht="20.100000000000001" customHeight="1" x14ac:dyDescent="0.25">
      <c r="B19" s="314">
        <v>13</v>
      </c>
      <c r="C19" s="316" t="s">
        <v>978</v>
      </c>
      <c r="D19" s="338">
        <v>0</v>
      </c>
      <c r="E19" s="338">
        <v>0</v>
      </c>
    </row>
    <row r="20" spans="2:5" ht="20.100000000000001" customHeight="1" x14ac:dyDescent="0.25">
      <c r="B20" s="314">
        <v>14</v>
      </c>
      <c r="C20" s="316" t="s">
        <v>979</v>
      </c>
      <c r="D20" s="338">
        <v>0</v>
      </c>
      <c r="E20" s="338">
        <v>0</v>
      </c>
    </row>
    <row r="21" spans="2:5" ht="20.100000000000001" customHeight="1" x14ac:dyDescent="0.25">
      <c r="B21" s="314">
        <v>15</v>
      </c>
      <c r="C21" s="316" t="s">
        <v>980</v>
      </c>
      <c r="D21" s="338">
        <v>0</v>
      </c>
      <c r="E21" s="338">
        <v>0</v>
      </c>
    </row>
    <row r="22" spans="2:5" ht="20.100000000000001" customHeight="1" x14ac:dyDescent="0.25">
      <c r="B22" s="314">
        <v>16</v>
      </c>
      <c r="C22" s="316" t="s">
        <v>981</v>
      </c>
      <c r="D22" s="338">
        <v>0</v>
      </c>
      <c r="E22" s="338">
        <v>0</v>
      </c>
    </row>
    <row r="23" spans="2:5" ht="20.100000000000001" customHeight="1" x14ac:dyDescent="0.25">
      <c r="B23" s="314">
        <v>17</v>
      </c>
      <c r="C23" s="316" t="s">
        <v>982</v>
      </c>
      <c r="D23" s="338">
        <v>0</v>
      </c>
      <c r="E23" s="339"/>
    </row>
    <row r="24" spans="2:5" ht="20.100000000000001" customHeight="1" x14ac:dyDescent="0.25">
      <c r="B24" s="314">
        <v>18</v>
      </c>
      <c r="C24" s="316" t="s">
        <v>983</v>
      </c>
      <c r="D24" s="338">
        <v>0</v>
      </c>
      <c r="E24" s="338">
        <v>0</v>
      </c>
    </row>
    <row r="25" spans="2:5" ht="20.100000000000001" customHeight="1" x14ac:dyDescent="0.25">
      <c r="B25" s="314">
        <v>19</v>
      </c>
      <c r="C25" s="316" t="s">
        <v>984</v>
      </c>
      <c r="D25" s="338">
        <v>0</v>
      </c>
      <c r="E25" s="338">
        <v>0</v>
      </c>
    </row>
    <row r="26" spans="2:5" ht="20.100000000000001" customHeight="1" x14ac:dyDescent="0.25">
      <c r="B26" s="314">
        <v>20</v>
      </c>
      <c r="C26" s="316" t="s">
        <v>985</v>
      </c>
      <c r="D26" s="338">
        <v>0</v>
      </c>
      <c r="E26" s="338">
        <v>0</v>
      </c>
    </row>
  </sheetData>
  <hyperlinks>
    <hyperlink ref="B2" location="Indhold!B58" display="Skema EU CCR8 -Modpartskreditrisikoeksponeringer" xr:uid="{3ED92F64-36C0-47E9-9635-538FA00AB549}"/>
  </hyperlinks>
  <pageMargins left="0.70866141732283472" right="0.70866141732283472" top="0.74803149606299213" bottom="0.74803149606299213" header="0.31496062992125984" footer="0.31496062992125984"/>
  <pageSetup paperSize="9" scale="95" orientation="landscape" r:id="rId1"/>
  <headerFooter>
    <oddHeader>&amp;CDA 
Bilag XXV</oddHead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9EAEB-AACE-4B24-A84E-858B7B219B05}">
  <sheetPr>
    <tabColor rgb="FF0070C0"/>
    <pageSetUpPr fitToPage="1"/>
  </sheetPr>
  <dimension ref="B2:R21"/>
  <sheetViews>
    <sheetView showGridLines="0" zoomScaleNormal="100" workbookViewId="0">
      <selection activeCell="B2" sqref="B2"/>
    </sheetView>
  </sheetViews>
  <sheetFormatPr defaultColWidth="9.140625" defaultRowHeight="15" x14ac:dyDescent="0.25"/>
  <cols>
    <col min="2" max="2" width="5.140625" customWidth="1"/>
    <col min="3" max="3" width="27.140625" customWidth="1"/>
    <col min="4" max="4" width="12.28515625" customWidth="1"/>
    <col min="5" max="5" width="30" bestFit="1" customWidth="1"/>
    <col min="6" max="6" width="12.28515625" customWidth="1"/>
    <col min="7" max="7" width="30" bestFit="1" customWidth="1"/>
    <col min="8" max="8" width="12.28515625" customWidth="1"/>
    <col min="9" max="9" width="15.7109375" customWidth="1"/>
    <col min="10" max="18" width="12.28515625" customWidth="1"/>
  </cols>
  <sheetData>
    <row r="2" spans="2:18" ht="18.75" x14ac:dyDescent="0.3">
      <c r="B2" s="866" t="s">
        <v>1041</v>
      </c>
      <c r="D2" s="416"/>
      <c r="E2" s="416"/>
      <c r="F2" s="416"/>
      <c r="G2" s="416"/>
      <c r="H2" s="416"/>
      <c r="I2" s="416"/>
      <c r="J2" s="416"/>
      <c r="K2" s="416"/>
      <c r="L2" s="416"/>
      <c r="M2" s="416"/>
      <c r="N2" s="416"/>
      <c r="O2" s="416"/>
      <c r="P2" s="416"/>
      <c r="Q2" s="416"/>
      <c r="R2" s="416"/>
    </row>
    <row r="5" spans="2:18" x14ac:dyDescent="0.25">
      <c r="B5" s="830"/>
      <c r="C5" s="832"/>
      <c r="D5" s="814" t="s">
        <v>103</v>
      </c>
      <c r="E5" s="814" t="s">
        <v>102</v>
      </c>
      <c r="F5" s="814" t="s">
        <v>97</v>
      </c>
      <c r="G5" s="814" t="s">
        <v>96</v>
      </c>
      <c r="H5" s="814" t="s">
        <v>95</v>
      </c>
      <c r="I5" s="814" t="s">
        <v>111</v>
      </c>
      <c r="J5" s="814" t="s">
        <v>112</v>
      </c>
      <c r="K5" s="814" t="s">
        <v>164</v>
      </c>
      <c r="L5" s="814" t="s">
        <v>323</v>
      </c>
      <c r="M5" s="814" t="s">
        <v>324</v>
      </c>
      <c r="N5" s="814" t="s">
        <v>325</v>
      </c>
      <c r="O5" s="814" t="s">
        <v>326</v>
      </c>
      <c r="P5" s="814" t="s">
        <v>327</v>
      </c>
      <c r="Q5" s="814" t="s">
        <v>354</v>
      </c>
      <c r="R5" s="814" t="s">
        <v>570</v>
      </c>
    </row>
    <row r="6" spans="2:18" x14ac:dyDescent="0.25">
      <c r="B6" s="830"/>
      <c r="C6" s="832"/>
      <c r="D6" s="1168" t="s">
        <v>989</v>
      </c>
      <c r="E6" s="1169"/>
      <c r="F6" s="1169"/>
      <c r="G6" s="1169"/>
      <c r="H6" s="1169"/>
      <c r="I6" s="1169"/>
      <c r="J6" s="1170"/>
      <c r="K6" s="1061" t="s">
        <v>990</v>
      </c>
      <c r="L6" s="1061"/>
      <c r="M6" s="1061"/>
      <c r="N6" s="1061"/>
      <c r="O6" s="1061" t="s">
        <v>991</v>
      </c>
      <c r="P6" s="1061"/>
      <c r="Q6" s="1061"/>
      <c r="R6" s="1061"/>
    </row>
    <row r="7" spans="2:18" x14ac:dyDescent="0.25">
      <c r="B7" s="830"/>
      <c r="C7" s="832"/>
      <c r="D7" s="1171" t="s">
        <v>992</v>
      </c>
      <c r="E7" s="1172"/>
      <c r="F7" s="1172"/>
      <c r="G7" s="1173"/>
      <c r="H7" s="1174" t="s">
        <v>993</v>
      </c>
      <c r="I7" s="1175"/>
      <c r="J7" s="835" t="s">
        <v>994</v>
      </c>
      <c r="K7" s="1174" t="s">
        <v>992</v>
      </c>
      <c r="L7" s="1175"/>
      <c r="M7" s="1043" t="s">
        <v>993</v>
      </c>
      <c r="N7" s="835" t="s">
        <v>994</v>
      </c>
      <c r="O7" s="1174" t="s">
        <v>992</v>
      </c>
      <c r="P7" s="1175"/>
      <c r="Q7" s="1043" t="s">
        <v>993</v>
      </c>
      <c r="R7" s="1043" t="s">
        <v>994</v>
      </c>
    </row>
    <row r="8" spans="2:18" x14ac:dyDescent="0.25">
      <c r="B8" s="830"/>
      <c r="C8" s="832"/>
      <c r="D8" s="1177" t="s">
        <v>995</v>
      </c>
      <c r="E8" s="1178"/>
      <c r="F8" s="1179" t="s">
        <v>996</v>
      </c>
      <c r="G8" s="1174"/>
      <c r="H8" s="1180"/>
      <c r="I8" s="1182" t="s">
        <v>997</v>
      </c>
      <c r="J8" s="1176"/>
      <c r="K8" s="1043" t="s">
        <v>995</v>
      </c>
      <c r="L8" s="1184" t="s">
        <v>996</v>
      </c>
      <c r="M8" s="1176"/>
      <c r="N8" s="1176"/>
      <c r="O8" s="1043" t="s">
        <v>995</v>
      </c>
      <c r="P8" s="1184" t="s">
        <v>996</v>
      </c>
      <c r="Q8" s="1176"/>
      <c r="R8" s="1176"/>
    </row>
    <row r="9" spans="2:18" x14ac:dyDescent="0.25">
      <c r="B9" s="831"/>
      <c r="C9" s="831"/>
      <c r="D9" s="833"/>
      <c r="E9" s="814" t="s">
        <v>997</v>
      </c>
      <c r="F9" s="834"/>
      <c r="G9" s="814" t="s">
        <v>997</v>
      </c>
      <c r="H9" s="1181"/>
      <c r="I9" s="1183"/>
      <c r="J9" s="1044"/>
      <c r="K9" s="1044"/>
      <c r="L9" s="1185"/>
      <c r="M9" s="1044"/>
      <c r="N9" s="1044"/>
      <c r="O9" s="1044"/>
      <c r="P9" s="1185"/>
      <c r="Q9" s="1044"/>
      <c r="R9" s="1044"/>
    </row>
    <row r="10" spans="2:18" x14ac:dyDescent="0.25">
      <c r="B10" s="341">
        <v>1</v>
      </c>
      <c r="C10" s="342" t="s">
        <v>998</v>
      </c>
      <c r="D10" s="340"/>
      <c r="E10" s="340"/>
      <c r="F10" s="340"/>
      <c r="G10" s="340"/>
      <c r="H10" s="328"/>
      <c r="I10" s="328"/>
      <c r="J10" s="328"/>
      <c r="K10" s="328"/>
      <c r="L10" s="328"/>
      <c r="M10" s="328"/>
      <c r="N10" s="328"/>
      <c r="O10" s="328"/>
      <c r="P10" s="328"/>
      <c r="Q10" s="328"/>
      <c r="R10" s="328"/>
    </row>
    <row r="11" spans="2:18" x14ac:dyDescent="0.25">
      <c r="B11" s="132">
        <v>2</v>
      </c>
      <c r="C11" s="343" t="s">
        <v>999</v>
      </c>
      <c r="D11" s="305"/>
      <c r="E11" s="305"/>
      <c r="F11" s="305"/>
      <c r="G11" s="305"/>
      <c r="H11" s="305"/>
      <c r="I11" s="305"/>
      <c r="J11" s="305"/>
      <c r="K11" s="305"/>
      <c r="L11" s="305"/>
      <c r="M11" s="305"/>
      <c r="N11" s="305"/>
      <c r="O11" s="305"/>
      <c r="P11" s="305"/>
      <c r="Q11" s="305"/>
      <c r="R11" s="305"/>
    </row>
    <row r="12" spans="2:18" x14ac:dyDescent="0.25">
      <c r="B12" s="132">
        <v>3</v>
      </c>
      <c r="C12" s="344" t="s">
        <v>1000</v>
      </c>
      <c r="D12" s="344"/>
      <c r="E12" s="344"/>
      <c r="F12" s="344"/>
      <c r="G12" s="344"/>
      <c r="H12" s="344"/>
      <c r="I12" s="344"/>
      <c r="J12" s="344"/>
      <c r="K12" s="344"/>
      <c r="L12" s="344"/>
      <c r="M12" s="344"/>
      <c r="N12" s="344"/>
      <c r="O12" s="344"/>
      <c r="P12" s="344"/>
      <c r="Q12" s="344"/>
      <c r="R12" s="344"/>
    </row>
    <row r="13" spans="2:18" x14ac:dyDescent="0.25">
      <c r="B13" s="132">
        <v>4</v>
      </c>
      <c r="C13" s="344" t="s">
        <v>1001</v>
      </c>
      <c r="D13" s="344"/>
      <c r="E13" s="344"/>
      <c r="F13" s="344"/>
      <c r="G13" s="344"/>
      <c r="H13" s="344"/>
      <c r="I13" s="344"/>
      <c r="J13" s="344"/>
      <c r="K13" s="344"/>
      <c r="L13" s="344"/>
      <c r="M13" s="344"/>
      <c r="N13" s="344"/>
      <c r="O13" s="344"/>
      <c r="P13" s="344"/>
      <c r="Q13" s="344"/>
      <c r="R13" s="344"/>
    </row>
    <row r="14" spans="2:18" x14ac:dyDescent="0.25">
      <c r="B14" s="132">
        <v>5</v>
      </c>
      <c r="C14" s="344" t="s">
        <v>1002</v>
      </c>
      <c r="D14" s="344"/>
      <c r="E14" s="344"/>
      <c r="F14" s="344"/>
      <c r="G14" s="344"/>
      <c r="H14" s="344"/>
      <c r="I14" s="344"/>
      <c r="J14" s="344"/>
      <c r="K14" s="344"/>
      <c r="L14" s="344"/>
      <c r="M14" s="344"/>
      <c r="N14" s="344"/>
      <c r="O14" s="344"/>
      <c r="P14" s="344"/>
      <c r="Q14" s="344"/>
      <c r="R14" s="344"/>
    </row>
    <row r="15" spans="2:18" x14ac:dyDescent="0.25">
      <c r="B15" s="132">
        <v>6</v>
      </c>
      <c r="C15" s="344" t="s">
        <v>1003</v>
      </c>
      <c r="D15" s="344"/>
      <c r="E15" s="344"/>
      <c r="F15" s="344"/>
      <c r="G15" s="344"/>
      <c r="H15" s="344"/>
      <c r="I15" s="344"/>
      <c r="J15" s="344"/>
      <c r="K15" s="344"/>
      <c r="L15" s="344"/>
      <c r="M15" s="344"/>
      <c r="N15" s="344"/>
      <c r="O15" s="344"/>
      <c r="P15" s="344"/>
      <c r="Q15" s="344"/>
      <c r="R15" s="344"/>
    </row>
    <row r="16" spans="2:18" x14ac:dyDescent="0.25">
      <c r="B16" s="132">
        <v>7</v>
      </c>
      <c r="C16" s="345" t="s">
        <v>1004</v>
      </c>
      <c r="D16" s="305"/>
      <c r="E16" s="305"/>
      <c r="F16" s="305"/>
      <c r="G16" s="305"/>
      <c r="H16" s="305"/>
      <c r="I16" s="305"/>
      <c r="J16" s="305"/>
      <c r="K16" s="305"/>
      <c r="L16" s="305"/>
      <c r="M16" s="305"/>
      <c r="N16" s="305"/>
      <c r="O16" s="305"/>
      <c r="P16" s="305"/>
      <c r="Q16" s="305"/>
      <c r="R16" s="305"/>
    </row>
    <row r="17" spans="2:18" x14ac:dyDescent="0.25">
      <c r="B17" s="132">
        <v>8</v>
      </c>
      <c r="C17" s="344" t="s">
        <v>1005</v>
      </c>
      <c r="D17" s="344"/>
      <c r="E17" s="344"/>
      <c r="F17" s="344"/>
      <c r="G17" s="344"/>
      <c r="H17" s="344"/>
      <c r="I17" s="344"/>
      <c r="J17" s="344"/>
      <c r="K17" s="344"/>
      <c r="L17" s="344"/>
      <c r="M17" s="344"/>
      <c r="N17" s="344"/>
      <c r="O17" s="344"/>
      <c r="P17" s="344"/>
      <c r="Q17" s="344"/>
      <c r="R17" s="344"/>
    </row>
    <row r="18" spans="2:18" x14ac:dyDescent="0.25">
      <c r="B18" s="132">
        <v>9</v>
      </c>
      <c r="C18" s="344" t="s">
        <v>1006</v>
      </c>
      <c r="D18" s="344"/>
      <c r="E18" s="344"/>
      <c r="F18" s="344"/>
      <c r="G18" s="344"/>
      <c r="H18" s="344"/>
      <c r="I18" s="344"/>
      <c r="J18" s="344"/>
      <c r="K18" s="344"/>
      <c r="L18" s="344"/>
      <c r="M18" s="344"/>
      <c r="N18" s="344"/>
      <c r="O18" s="344"/>
      <c r="P18" s="344"/>
      <c r="Q18" s="344"/>
      <c r="R18" s="344"/>
    </row>
    <row r="19" spans="2:18" x14ac:dyDescent="0.25">
      <c r="B19" s="132">
        <v>10</v>
      </c>
      <c r="C19" s="344" t="s">
        <v>1007</v>
      </c>
      <c r="D19" s="344"/>
      <c r="E19" s="344"/>
      <c r="F19" s="344"/>
      <c r="G19" s="344"/>
      <c r="H19" s="344"/>
      <c r="I19" s="344"/>
      <c r="J19" s="344"/>
      <c r="K19" s="344"/>
      <c r="L19" s="344"/>
      <c r="M19" s="344"/>
      <c r="N19" s="344"/>
      <c r="O19" s="344"/>
      <c r="P19" s="344"/>
      <c r="Q19" s="344"/>
      <c r="R19" s="344"/>
    </row>
    <row r="20" spans="2:18" x14ac:dyDescent="0.25">
      <c r="B20" s="132">
        <v>11</v>
      </c>
      <c r="C20" s="344" t="s">
        <v>1008</v>
      </c>
      <c r="D20" s="344"/>
      <c r="E20" s="344"/>
      <c r="F20" s="344"/>
      <c r="G20" s="344"/>
      <c r="H20" s="344"/>
      <c r="I20" s="344"/>
      <c r="J20" s="344"/>
      <c r="K20" s="344"/>
      <c r="L20" s="344"/>
      <c r="M20" s="344"/>
      <c r="N20" s="344"/>
      <c r="O20" s="344"/>
      <c r="P20" s="344"/>
      <c r="Q20" s="344"/>
      <c r="R20" s="344"/>
    </row>
    <row r="21" spans="2:18" x14ac:dyDescent="0.25">
      <c r="B21" s="132">
        <v>12</v>
      </c>
      <c r="C21" s="344" t="s">
        <v>1003</v>
      </c>
      <c r="D21" s="344"/>
      <c r="E21" s="344"/>
      <c r="F21" s="344"/>
      <c r="G21" s="344"/>
      <c r="H21" s="344"/>
      <c r="I21" s="344"/>
      <c r="J21" s="344"/>
      <c r="K21" s="344"/>
      <c r="L21" s="344"/>
      <c r="M21" s="344"/>
      <c r="N21" s="344"/>
      <c r="O21" s="344"/>
      <c r="P21" s="344"/>
      <c r="Q21" s="344"/>
      <c r="R21" s="344"/>
    </row>
  </sheetData>
  <mergeCells count="20">
    <mergeCell ref="N8:N9"/>
    <mergeCell ref="O8:O9"/>
    <mergeCell ref="P8:P9"/>
    <mergeCell ref="K8:K9"/>
    <mergeCell ref="D6:J6"/>
    <mergeCell ref="K6:N6"/>
    <mergeCell ref="O6:R6"/>
    <mergeCell ref="D7:G7"/>
    <mergeCell ref="H7:I7"/>
    <mergeCell ref="K7:L7"/>
    <mergeCell ref="M7:M9"/>
    <mergeCell ref="O7:P7"/>
    <mergeCell ref="Q7:Q9"/>
    <mergeCell ref="D8:E8"/>
    <mergeCell ref="F8:G8"/>
    <mergeCell ref="H8:H9"/>
    <mergeCell ref="I8:I9"/>
    <mergeCell ref="J8:J9"/>
    <mergeCell ref="R7:R9"/>
    <mergeCell ref="L8:L9"/>
  </mergeCells>
  <hyperlinks>
    <hyperlink ref="B2:R2" location="Indhold!B64" display="Skema EU-SEC1 - Securitiseringseksponeringer uden for handelsbeholdningen" xr:uid="{163C9AEF-714C-472D-A1F3-83180AEE01B9}"/>
    <hyperlink ref="B2" location="Indhold!B59" display="Skema EU-SEC1 - Securitiseringseksponeringer uden for handelsbeholdningen" xr:uid="{C84C1701-E71E-4EB8-B440-E26A095C9FAB}"/>
  </hyperlinks>
  <pageMargins left="0.70866141732283472" right="0.70866141732283472" top="0.74803149606299213" bottom="0.74803149606299213" header="0.31496062992125984" footer="0.31496062992125984"/>
  <pageSetup paperSize="9" scale="60" orientation="landscape" cellComments="asDisplayed" r:id="rId1"/>
  <headerFooter>
    <oddHeader>&amp;CDA
Bilag XXVII</oddHead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61C8F-5239-4033-BD32-332F63B642C4}">
  <sheetPr>
    <tabColor rgb="FF0070C0"/>
    <pageSetUpPr fitToPage="1"/>
  </sheetPr>
  <dimension ref="B2:R20"/>
  <sheetViews>
    <sheetView showGridLines="0" zoomScaleNormal="100" workbookViewId="0">
      <selection activeCell="B2" sqref="B2"/>
    </sheetView>
  </sheetViews>
  <sheetFormatPr defaultColWidth="9.140625" defaultRowHeight="15" x14ac:dyDescent="0.25"/>
  <cols>
    <col min="2" max="2" width="5.28515625" customWidth="1"/>
    <col min="3" max="3" width="27.140625" customWidth="1"/>
    <col min="4" max="7" width="13.7109375" customWidth="1"/>
    <col min="8" max="13" width="12.28515625" customWidth="1"/>
    <col min="14" max="14" width="15.85546875" customWidth="1"/>
  </cols>
  <sheetData>
    <row r="2" spans="2:18" ht="18.75" x14ac:dyDescent="0.3">
      <c r="B2" s="866" t="s">
        <v>1009</v>
      </c>
      <c r="D2" s="416"/>
      <c r="E2" s="416"/>
      <c r="F2" s="416"/>
      <c r="G2" s="416"/>
      <c r="H2" s="416"/>
      <c r="I2" s="416"/>
      <c r="J2" s="416"/>
      <c r="K2" s="416"/>
      <c r="L2" s="416"/>
      <c r="M2" s="416"/>
      <c r="N2" s="416"/>
      <c r="O2" s="416"/>
      <c r="P2" s="416"/>
      <c r="Q2" s="416"/>
      <c r="R2" s="416"/>
    </row>
    <row r="5" spans="2:18" x14ac:dyDescent="0.25">
      <c r="B5" s="830"/>
      <c r="C5" s="832"/>
      <c r="D5" s="814" t="s">
        <v>103</v>
      </c>
      <c r="E5" s="814" t="s">
        <v>102</v>
      </c>
      <c r="F5" s="814" t="s">
        <v>97</v>
      </c>
      <c r="G5" s="814" t="s">
        <v>96</v>
      </c>
      <c r="H5" s="814" t="s">
        <v>95</v>
      </c>
      <c r="I5" s="814" t="s">
        <v>111</v>
      </c>
      <c r="J5" s="814" t="s">
        <v>112</v>
      </c>
      <c r="K5" s="814" t="s">
        <v>164</v>
      </c>
      <c r="L5" s="814" t="s">
        <v>323</v>
      </c>
      <c r="M5" s="814" t="s">
        <v>324</v>
      </c>
      <c r="N5" s="814" t="s">
        <v>325</v>
      </c>
      <c r="O5" s="814" t="s">
        <v>326</v>
      </c>
    </row>
    <row r="6" spans="2:18" x14ac:dyDescent="0.25">
      <c r="B6" s="830"/>
      <c r="C6" s="832"/>
      <c r="D6" s="1061" t="s">
        <v>989</v>
      </c>
      <c r="E6" s="1061"/>
      <c r="F6" s="1061"/>
      <c r="G6" s="1061"/>
      <c r="H6" s="1061" t="s">
        <v>990</v>
      </c>
      <c r="I6" s="1061"/>
      <c r="J6" s="1061"/>
      <c r="K6" s="1061"/>
      <c r="L6" s="1061" t="s">
        <v>991</v>
      </c>
      <c r="M6" s="1061"/>
      <c r="N6" s="1061"/>
      <c r="O6" s="1061"/>
    </row>
    <row r="7" spans="2:18" x14ac:dyDescent="0.25">
      <c r="B7" s="830"/>
      <c r="C7" s="832"/>
      <c r="D7" s="1171" t="s">
        <v>992</v>
      </c>
      <c r="E7" s="1173"/>
      <c r="F7" s="1043" t="s">
        <v>993</v>
      </c>
      <c r="G7" s="1043" t="s">
        <v>994</v>
      </c>
      <c r="H7" s="1174" t="s">
        <v>992</v>
      </c>
      <c r="I7" s="1175"/>
      <c r="J7" s="1043" t="s">
        <v>993</v>
      </c>
      <c r="K7" s="1043" t="s">
        <v>994</v>
      </c>
      <c r="L7" s="1174" t="s">
        <v>992</v>
      </c>
      <c r="M7" s="1175"/>
      <c r="N7" s="1043" t="s">
        <v>993</v>
      </c>
      <c r="O7" s="1043" t="s">
        <v>994</v>
      </c>
    </row>
    <row r="8" spans="2:18" x14ac:dyDescent="0.25">
      <c r="B8" s="831"/>
      <c r="C8" s="831"/>
      <c r="D8" s="814" t="s">
        <v>995</v>
      </c>
      <c r="E8" s="838" t="s">
        <v>996</v>
      </c>
      <c r="F8" s="1044"/>
      <c r="G8" s="1044"/>
      <c r="H8" s="809" t="s">
        <v>995</v>
      </c>
      <c r="I8" s="839" t="s">
        <v>996</v>
      </c>
      <c r="J8" s="1176"/>
      <c r="K8" s="1176"/>
      <c r="L8" s="809" t="s">
        <v>995</v>
      </c>
      <c r="M8" s="839" t="s">
        <v>996</v>
      </c>
      <c r="N8" s="1176"/>
      <c r="O8" s="1176"/>
    </row>
    <row r="9" spans="2:18" x14ac:dyDescent="0.25">
      <c r="B9" s="341">
        <v>1</v>
      </c>
      <c r="C9" s="342" t="s">
        <v>998</v>
      </c>
      <c r="D9" s="837"/>
      <c r="E9" s="837"/>
      <c r="F9" s="328"/>
      <c r="G9" s="811"/>
      <c r="H9" s="811"/>
      <c r="I9" s="811"/>
      <c r="J9" s="328"/>
      <c r="K9" s="811"/>
      <c r="L9" s="811"/>
      <c r="M9" s="811"/>
      <c r="N9" s="328"/>
      <c r="O9" s="811"/>
    </row>
    <row r="10" spans="2:18" x14ac:dyDescent="0.25">
      <c r="B10" s="132">
        <v>2</v>
      </c>
      <c r="C10" s="346" t="s">
        <v>999</v>
      </c>
      <c r="D10" s="305"/>
      <c r="E10" s="305"/>
      <c r="F10" s="305"/>
      <c r="G10" s="305"/>
      <c r="H10" s="305"/>
      <c r="I10" s="305"/>
      <c r="J10" s="305"/>
      <c r="K10" s="305"/>
      <c r="L10" s="305"/>
      <c r="M10" s="305"/>
      <c r="N10" s="305"/>
      <c r="O10" s="305"/>
    </row>
    <row r="11" spans="2:18" x14ac:dyDescent="0.25">
      <c r="B11" s="132">
        <v>3</v>
      </c>
      <c r="C11" s="347" t="s">
        <v>1000</v>
      </c>
      <c r="D11" s="344"/>
      <c r="E11" s="344"/>
      <c r="F11" s="344"/>
      <c r="G11" s="344"/>
      <c r="H11" s="344"/>
      <c r="I11" s="344"/>
      <c r="J11" s="344"/>
      <c r="K11" s="344"/>
      <c r="L11" s="344"/>
      <c r="M11" s="344"/>
      <c r="N11" s="344"/>
      <c r="O11" s="344"/>
    </row>
    <row r="12" spans="2:18" x14ac:dyDescent="0.25">
      <c r="B12" s="132">
        <v>4</v>
      </c>
      <c r="C12" s="347" t="s">
        <v>1001</v>
      </c>
      <c r="D12" s="344"/>
      <c r="E12" s="344"/>
      <c r="F12" s="344"/>
      <c r="G12" s="344"/>
      <c r="H12" s="344"/>
      <c r="I12" s="344"/>
      <c r="J12" s="344"/>
      <c r="K12" s="344"/>
      <c r="L12" s="344"/>
      <c r="M12" s="344"/>
      <c r="N12" s="344"/>
      <c r="O12" s="344"/>
    </row>
    <row r="13" spans="2:18" x14ac:dyDescent="0.25">
      <c r="B13" s="132">
        <v>5</v>
      </c>
      <c r="C13" s="347" t="s">
        <v>1002</v>
      </c>
      <c r="D13" s="344"/>
      <c r="E13" s="344"/>
      <c r="F13" s="344"/>
      <c r="G13" s="344"/>
      <c r="H13" s="344"/>
      <c r="I13" s="344"/>
      <c r="J13" s="344"/>
      <c r="K13" s="344"/>
      <c r="L13" s="344"/>
      <c r="M13" s="344"/>
      <c r="N13" s="344"/>
      <c r="O13" s="344"/>
    </row>
    <row r="14" spans="2:18" x14ac:dyDescent="0.25">
      <c r="B14" s="132">
        <v>6</v>
      </c>
      <c r="C14" s="347" t="s">
        <v>1003</v>
      </c>
      <c r="D14" s="344"/>
      <c r="E14" s="344"/>
      <c r="F14" s="344"/>
      <c r="G14" s="344"/>
      <c r="H14" s="344"/>
      <c r="I14" s="344"/>
      <c r="J14" s="344"/>
      <c r="K14" s="344"/>
      <c r="L14" s="344"/>
      <c r="M14" s="344"/>
      <c r="N14" s="344"/>
      <c r="O14" s="344"/>
    </row>
    <row r="15" spans="2:18" ht="15.75" customHeight="1" x14ac:dyDescent="0.25">
      <c r="B15" s="132">
        <v>7</v>
      </c>
      <c r="C15" s="346" t="s">
        <v>1004</v>
      </c>
      <c r="D15" s="305"/>
      <c r="E15" s="305"/>
      <c r="F15" s="305"/>
      <c r="G15" s="305"/>
      <c r="H15" s="305"/>
      <c r="I15" s="305"/>
      <c r="J15" s="305"/>
      <c r="K15" s="305"/>
      <c r="L15" s="305"/>
      <c r="M15" s="305"/>
      <c r="N15" s="305"/>
      <c r="O15" s="305"/>
    </row>
    <row r="16" spans="2:18" x14ac:dyDescent="0.25">
      <c r="B16" s="132">
        <v>8</v>
      </c>
      <c r="C16" s="347" t="s">
        <v>1005</v>
      </c>
      <c r="D16" s="344"/>
      <c r="E16" s="344"/>
      <c r="F16" s="344"/>
      <c r="G16" s="344"/>
      <c r="H16" s="344"/>
      <c r="I16" s="344"/>
      <c r="J16" s="344"/>
      <c r="K16" s="344"/>
      <c r="L16" s="344"/>
      <c r="M16" s="344"/>
      <c r="N16" s="344"/>
      <c r="O16" s="344"/>
    </row>
    <row r="17" spans="2:15" x14ac:dyDescent="0.25">
      <c r="B17" s="132">
        <v>9</v>
      </c>
      <c r="C17" s="347" t="s">
        <v>1006</v>
      </c>
      <c r="D17" s="344"/>
      <c r="E17" s="344"/>
      <c r="F17" s="344"/>
      <c r="G17" s="344"/>
      <c r="H17" s="344"/>
      <c r="I17" s="344"/>
      <c r="J17" s="344"/>
      <c r="K17" s="344"/>
      <c r="L17" s="344"/>
      <c r="M17" s="344"/>
      <c r="N17" s="344"/>
      <c r="O17" s="344"/>
    </row>
    <row r="18" spans="2:15" x14ac:dyDescent="0.25">
      <c r="B18" s="132">
        <v>10</v>
      </c>
      <c r="C18" s="347" t="s">
        <v>1007</v>
      </c>
      <c r="D18" s="344"/>
      <c r="E18" s="344"/>
      <c r="F18" s="344"/>
      <c r="G18" s="344"/>
      <c r="H18" s="344"/>
      <c r="I18" s="344"/>
      <c r="J18" s="344"/>
      <c r="K18" s="344"/>
      <c r="L18" s="344"/>
      <c r="M18" s="344"/>
      <c r="N18" s="344"/>
      <c r="O18" s="344"/>
    </row>
    <row r="19" spans="2:15" x14ac:dyDescent="0.25">
      <c r="B19" s="132">
        <v>11</v>
      </c>
      <c r="C19" s="347" t="s">
        <v>1008</v>
      </c>
      <c r="D19" s="344"/>
      <c r="E19" s="344"/>
      <c r="F19" s="344"/>
      <c r="G19" s="344"/>
      <c r="H19" s="344"/>
      <c r="I19" s="344"/>
      <c r="J19" s="344"/>
      <c r="K19" s="344"/>
      <c r="L19" s="344"/>
      <c r="M19" s="344"/>
      <c r="N19" s="344"/>
      <c r="O19" s="344"/>
    </row>
    <row r="20" spans="2:15" x14ac:dyDescent="0.25">
      <c r="B20" s="132">
        <v>12</v>
      </c>
      <c r="C20" s="347" t="s">
        <v>1003</v>
      </c>
      <c r="D20" s="344"/>
      <c r="E20" s="344"/>
      <c r="F20" s="344"/>
      <c r="G20" s="344"/>
      <c r="H20" s="344"/>
      <c r="I20" s="344"/>
      <c r="J20" s="344"/>
      <c r="K20" s="344"/>
      <c r="L20" s="344"/>
      <c r="M20" s="344"/>
      <c r="N20" s="344"/>
      <c r="O20" s="344"/>
    </row>
  </sheetData>
  <mergeCells count="12">
    <mergeCell ref="D6:G6"/>
    <mergeCell ref="H6:K6"/>
    <mergeCell ref="L6:O6"/>
    <mergeCell ref="D7:E7"/>
    <mergeCell ref="F7:F8"/>
    <mergeCell ref="H7:I7"/>
    <mergeCell ref="J7:J8"/>
    <mergeCell ref="L7:M7"/>
    <mergeCell ref="N7:N8"/>
    <mergeCell ref="K7:K8"/>
    <mergeCell ref="O7:O8"/>
    <mergeCell ref="G7:G8"/>
  </mergeCells>
  <hyperlinks>
    <hyperlink ref="B2" location="Indhold!B60" display="Skema EU-SEC2 - Securitiseringseksponeringer i handelsbeholdningen" xr:uid="{79BDBEEB-D0A7-4D63-83FC-7D9F49351177}"/>
  </hyperlinks>
  <pageMargins left="0.70866141732283472" right="0.70866141732283472" top="0.74803149606299213" bottom="0.74803149606299213" header="0.31496062992125984" footer="0.31496062992125984"/>
  <pageSetup paperSize="9" scale="72" orientation="landscape" cellComments="asDisplayed" verticalDpi="598" r:id="rId1"/>
  <headerFooter>
    <oddHeader>&amp;CDA
Bilag XXVII</oddHeader>
    <oddFooter>&amp;C&amp;P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A3CA4-A059-48D8-A12B-2CB2535DAD44}">
  <sheetPr>
    <tabColor rgb="FF0070C0"/>
    <pageSetUpPr fitToPage="1"/>
  </sheetPr>
  <dimension ref="B2:U22"/>
  <sheetViews>
    <sheetView showGridLines="0" zoomScaleNormal="100" zoomScalePageLayoutView="70" workbookViewId="0">
      <selection activeCell="B2" sqref="B2"/>
    </sheetView>
  </sheetViews>
  <sheetFormatPr defaultColWidth="9.140625" defaultRowHeight="15" x14ac:dyDescent="0.25"/>
  <cols>
    <col min="2" max="2" width="5.140625" customWidth="1"/>
    <col min="3" max="4" width="13.7109375" customWidth="1"/>
    <col min="5" max="9" width="13.42578125" customWidth="1"/>
    <col min="10" max="13" width="15.42578125" customWidth="1"/>
    <col min="14" max="17" width="17.28515625" customWidth="1"/>
    <col min="18" max="21" width="13.42578125" customWidth="1"/>
  </cols>
  <sheetData>
    <row r="2" spans="2:21" ht="18.75" x14ac:dyDescent="0.3">
      <c r="B2" s="866" t="s">
        <v>1010</v>
      </c>
      <c r="D2" s="416"/>
      <c r="E2" s="416"/>
      <c r="F2" s="416"/>
      <c r="G2" s="416"/>
      <c r="H2" s="416"/>
      <c r="I2" s="416"/>
      <c r="J2" s="416"/>
      <c r="K2" s="416"/>
      <c r="L2" s="416"/>
      <c r="M2" s="416"/>
      <c r="N2" s="416"/>
      <c r="O2" s="416"/>
      <c r="P2" s="416"/>
      <c r="Q2" s="416"/>
      <c r="R2" s="416"/>
    </row>
    <row r="3" spans="2:21" ht="15" customHeight="1" x14ac:dyDescent="0.3">
      <c r="C3" s="348"/>
      <c r="D3" s="349"/>
      <c r="E3" s="349"/>
      <c r="F3" s="349"/>
      <c r="G3" s="349"/>
      <c r="H3" s="349"/>
      <c r="I3" s="349"/>
      <c r="J3" s="349"/>
      <c r="K3" s="349"/>
      <c r="L3" s="349"/>
      <c r="M3" s="51"/>
      <c r="N3" s="51"/>
    </row>
    <row r="4" spans="2:21" ht="15" customHeight="1" x14ac:dyDescent="0.25"/>
    <row r="5" spans="2:21" x14ac:dyDescent="0.25">
      <c r="B5" s="438"/>
      <c r="C5" s="438"/>
      <c r="D5" s="438"/>
      <c r="E5" s="814" t="s">
        <v>103</v>
      </c>
      <c r="F5" s="814" t="s">
        <v>102</v>
      </c>
      <c r="G5" s="814" t="s">
        <v>97</v>
      </c>
      <c r="H5" s="814" t="s">
        <v>96</v>
      </c>
      <c r="I5" s="814" t="s">
        <v>95</v>
      </c>
      <c r="J5" s="814" t="s">
        <v>111</v>
      </c>
      <c r="K5" s="814" t="s">
        <v>112</v>
      </c>
      <c r="L5" s="814" t="s">
        <v>164</v>
      </c>
      <c r="M5" s="814" t="s">
        <v>323</v>
      </c>
      <c r="N5" s="814" t="s">
        <v>324</v>
      </c>
      <c r="O5" s="814" t="s">
        <v>325</v>
      </c>
      <c r="P5" s="814" t="s">
        <v>326</v>
      </c>
      <c r="Q5" s="814" t="s">
        <v>327</v>
      </c>
      <c r="R5" s="814" t="s">
        <v>354</v>
      </c>
      <c r="S5" s="814" t="s">
        <v>570</v>
      </c>
      <c r="T5" s="814" t="s">
        <v>1011</v>
      </c>
      <c r="U5" s="814" t="s">
        <v>1012</v>
      </c>
    </row>
    <row r="6" spans="2:21" x14ac:dyDescent="0.25">
      <c r="B6" s="438"/>
      <c r="C6" s="438"/>
      <c r="D6" s="438"/>
      <c r="E6" s="1187" t="s">
        <v>1013</v>
      </c>
      <c r="F6" s="1061"/>
      <c r="G6" s="1061"/>
      <c r="H6" s="1061"/>
      <c r="I6" s="1061"/>
      <c r="J6" s="1061" t="s">
        <v>1014</v>
      </c>
      <c r="K6" s="1061"/>
      <c r="L6" s="1061"/>
      <c r="M6" s="1061"/>
      <c r="N6" s="1061" t="s">
        <v>1015</v>
      </c>
      <c r="O6" s="1061"/>
      <c r="P6" s="1061"/>
      <c r="Q6" s="1061"/>
      <c r="R6" s="1061" t="s">
        <v>1016</v>
      </c>
      <c r="S6" s="1061"/>
      <c r="T6" s="1061"/>
      <c r="U6" s="1061"/>
    </row>
    <row r="7" spans="2:21" s="88" customFormat="1" ht="45" x14ac:dyDescent="0.25">
      <c r="B7" s="830"/>
      <c r="C7" s="830"/>
      <c r="D7" s="830"/>
      <c r="E7" s="565" t="s">
        <v>1017</v>
      </c>
      <c r="F7" s="565" t="s">
        <v>1018</v>
      </c>
      <c r="G7" s="565" t="s">
        <v>1019</v>
      </c>
      <c r="H7" s="565" t="s">
        <v>1020</v>
      </c>
      <c r="I7" s="565" t="s">
        <v>1021</v>
      </c>
      <c r="J7" s="565" t="s">
        <v>1022</v>
      </c>
      <c r="K7" s="565" t="s">
        <v>1023</v>
      </c>
      <c r="L7" s="565" t="s">
        <v>1024</v>
      </c>
      <c r="M7" s="841" t="s">
        <v>1021</v>
      </c>
      <c r="N7" s="565" t="s">
        <v>1022</v>
      </c>
      <c r="O7" s="565" t="s">
        <v>1023</v>
      </c>
      <c r="P7" s="565" t="s">
        <v>1024</v>
      </c>
      <c r="Q7" s="841" t="s">
        <v>1025</v>
      </c>
      <c r="R7" s="565" t="s">
        <v>1022</v>
      </c>
      <c r="S7" s="565" t="s">
        <v>1023</v>
      </c>
      <c r="T7" s="565" t="s">
        <v>1024</v>
      </c>
      <c r="U7" s="841" t="s">
        <v>1025</v>
      </c>
    </row>
    <row r="8" spans="2:21" x14ac:dyDescent="0.25">
      <c r="B8" s="350">
        <v>1</v>
      </c>
      <c r="C8" s="1188" t="s">
        <v>998</v>
      </c>
      <c r="D8" s="1188"/>
      <c r="E8" s="840"/>
      <c r="F8" s="840"/>
      <c r="G8" s="840"/>
      <c r="H8" s="840"/>
      <c r="I8" s="840"/>
      <c r="J8" s="840"/>
      <c r="K8" s="840"/>
      <c r="L8" s="840"/>
      <c r="M8" s="840"/>
      <c r="N8" s="840"/>
      <c r="O8" s="840"/>
      <c r="P8" s="840"/>
      <c r="Q8" s="840"/>
      <c r="R8" s="840"/>
      <c r="S8" s="840"/>
      <c r="T8" s="840"/>
      <c r="U8" s="840"/>
    </row>
    <row r="9" spans="2:21" x14ac:dyDescent="0.25">
      <c r="B9" s="305">
        <v>2</v>
      </c>
      <c r="C9" s="1186" t="s">
        <v>1026</v>
      </c>
      <c r="D9" s="1186"/>
      <c r="E9" s="344"/>
      <c r="F9" s="344"/>
      <c r="G9" s="344"/>
      <c r="H9" s="344"/>
      <c r="I9" s="344"/>
      <c r="J9" s="344"/>
      <c r="K9" s="344"/>
      <c r="L9" s="344"/>
      <c r="M9" s="344"/>
      <c r="N9" s="344"/>
      <c r="O9" s="344"/>
      <c r="P9" s="344"/>
      <c r="Q9" s="344"/>
      <c r="R9" s="344"/>
      <c r="S9" s="344"/>
      <c r="T9" s="344"/>
      <c r="U9" s="344"/>
    </row>
    <row r="10" spans="2:21" x14ac:dyDescent="0.25">
      <c r="B10" s="305">
        <v>3</v>
      </c>
      <c r="C10" s="1186" t="s">
        <v>1027</v>
      </c>
      <c r="D10" s="1186"/>
      <c r="E10" s="344"/>
      <c r="F10" s="344"/>
      <c r="G10" s="344"/>
      <c r="H10" s="344"/>
      <c r="I10" s="344"/>
      <c r="J10" s="344"/>
      <c r="K10" s="344"/>
      <c r="L10" s="344"/>
      <c r="M10" s="344"/>
      <c r="N10" s="344"/>
      <c r="O10" s="344"/>
      <c r="P10" s="344"/>
      <c r="Q10" s="344"/>
      <c r="R10" s="344"/>
      <c r="S10" s="344"/>
      <c r="T10" s="344"/>
      <c r="U10" s="344"/>
    </row>
    <row r="11" spans="2:21" x14ac:dyDescent="0.25">
      <c r="B11" s="305">
        <v>4</v>
      </c>
      <c r="C11" s="1186" t="s">
        <v>1028</v>
      </c>
      <c r="D11" s="1186"/>
      <c r="E11" s="344"/>
      <c r="F11" s="344"/>
      <c r="G11" s="344"/>
      <c r="H11" s="344"/>
      <c r="I11" s="344"/>
      <c r="J11" s="344"/>
      <c r="K11" s="344"/>
      <c r="L11" s="344"/>
      <c r="M11" s="344"/>
      <c r="N11" s="344"/>
      <c r="O11" s="344"/>
      <c r="P11" s="344"/>
      <c r="Q11" s="344"/>
      <c r="R11" s="344"/>
      <c r="S11" s="344"/>
      <c r="T11" s="344"/>
      <c r="U11" s="344"/>
    </row>
    <row r="12" spans="2:21" x14ac:dyDescent="0.25">
      <c r="B12" s="305">
        <v>5</v>
      </c>
      <c r="C12" s="1189" t="s">
        <v>1029</v>
      </c>
      <c r="D12" s="1189"/>
      <c r="E12" s="344"/>
      <c r="F12" s="344"/>
      <c r="G12" s="344"/>
      <c r="H12" s="344"/>
      <c r="I12" s="344"/>
      <c r="J12" s="344"/>
      <c r="K12" s="344"/>
      <c r="L12" s="344"/>
      <c r="M12" s="344"/>
      <c r="N12" s="344"/>
      <c r="O12" s="344"/>
      <c r="P12" s="344"/>
      <c r="Q12" s="344"/>
      <c r="R12" s="344"/>
      <c r="S12" s="344"/>
      <c r="T12" s="344"/>
      <c r="U12" s="344"/>
    </row>
    <row r="13" spans="2:21" x14ac:dyDescent="0.25">
      <c r="B13" s="305">
        <v>6</v>
      </c>
      <c r="C13" s="1186" t="s">
        <v>1030</v>
      </c>
      <c r="D13" s="1186"/>
      <c r="E13" s="344"/>
      <c r="F13" s="344"/>
      <c r="G13" s="344"/>
      <c r="H13" s="344"/>
      <c r="I13" s="344"/>
      <c r="J13" s="344"/>
      <c r="K13" s="344"/>
      <c r="L13" s="344"/>
      <c r="M13" s="344"/>
      <c r="N13" s="344"/>
      <c r="O13" s="344"/>
      <c r="P13" s="344"/>
      <c r="Q13" s="344"/>
      <c r="R13" s="344"/>
      <c r="S13" s="344"/>
      <c r="T13" s="344"/>
      <c r="U13" s="344"/>
    </row>
    <row r="14" spans="2:21" x14ac:dyDescent="0.25">
      <c r="B14" s="305">
        <v>7</v>
      </c>
      <c r="C14" s="1189" t="s">
        <v>1029</v>
      </c>
      <c r="D14" s="1189"/>
      <c r="E14" s="344"/>
      <c r="F14" s="344"/>
      <c r="G14" s="344"/>
      <c r="H14" s="344"/>
      <c r="I14" s="344"/>
      <c r="J14" s="344"/>
      <c r="K14" s="344"/>
      <c r="L14" s="344"/>
      <c r="M14" s="344"/>
      <c r="N14" s="344"/>
      <c r="O14" s="344"/>
      <c r="P14" s="344"/>
      <c r="Q14" s="344"/>
      <c r="R14" s="344"/>
      <c r="S14" s="344"/>
      <c r="T14" s="344"/>
      <c r="U14" s="344"/>
    </row>
    <row r="15" spans="2:21" x14ac:dyDescent="0.25">
      <c r="B15" s="305">
        <v>8</v>
      </c>
      <c r="C15" s="1186" t="s">
        <v>1031</v>
      </c>
      <c r="D15" s="1186"/>
      <c r="E15" s="344"/>
      <c r="F15" s="344"/>
      <c r="G15" s="344"/>
      <c r="H15" s="344"/>
      <c r="I15" s="344"/>
      <c r="J15" s="344"/>
      <c r="K15" s="344"/>
      <c r="L15" s="344"/>
      <c r="M15" s="344"/>
      <c r="N15" s="344"/>
      <c r="O15" s="344"/>
      <c r="P15" s="344"/>
      <c r="Q15" s="344"/>
      <c r="R15" s="344"/>
      <c r="S15" s="344"/>
      <c r="T15" s="344"/>
      <c r="U15" s="344"/>
    </row>
    <row r="16" spans="2:21" x14ac:dyDescent="0.25">
      <c r="B16" s="305">
        <v>9</v>
      </c>
      <c r="C16" s="1186" t="s">
        <v>1032</v>
      </c>
      <c r="D16" s="1186"/>
      <c r="E16" s="344"/>
      <c r="F16" s="344"/>
      <c r="G16" s="344"/>
      <c r="H16" s="344"/>
      <c r="I16" s="344"/>
      <c r="J16" s="344"/>
      <c r="K16" s="344"/>
      <c r="L16" s="344"/>
      <c r="M16" s="344"/>
      <c r="N16" s="344"/>
      <c r="O16" s="344"/>
      <c r="P16" s="344"/>
      <c r="Q16" s="344"/>
      <c r="R16" s="344"/>
      <c r="S16" s="344"/>
      <c r="T16" s="344"/>
      <c r="U16" s="344"/>
    </row>
    <row r="17" spans="2:21" x14ac:dyDescent="0.25">
      <c r="B17" s="305">
        <v>10</v>
      </c>
      <c r="C17" s="1186" t="s">
        <v>1027</v>
      </c>
      <c r="D17" s="1186"/>
      <c r="E17" s="344"/>
      <c r="F17" s="344"/>
      <c r="G17" s="344"/>
      <c r="H17" s="344"/>
      <c r="I17" s="344"/>
      <c r="J17" s="344"/>
      <c r="K17" s="344"/>
      <c r="L17" s="344"/>
      <c r="M17" s="344"/>
      <c r="N17" s="344"/>
      <c r="O17" s="344"/>
      <c r="P17" s="344"/>
      <c r="Q17" s="344"/>
      <c r="R17" s="344"/>
      <c r="S17" s="344"/>
      <c r="T17" s="344"/>
      <c r="U17" s="344"/>
    </row>
    <row r="18" spans="2:21" x14ac:dyDescent="0.25">
      <c r="B18" s="305">
        <v>11</v>
      </c>
      <c r="C18" s="1186" t="s">
        <v>1033</v>
      </c>
      <c r="D18" s="1186"/>
      <c r="E18" s="344"/>
      <c r="F18" s="344"/>
      <c r="G18" s="344"/>
      <c r="H18" s="344"/>
      <c r="I18" s="344"/>
      <c r="J18" s="344"/>
      <c r="K18" s="344"/>
      <c r="L18" s="344"/>
      <c r="M18" s="344"/>
      <c r="N18" s="344"/>
      <c r="O18" s="344"/>
      <c r="P18" s="344"/>
      <c r="Q18" s="344"/>
      <c r="R18" s="344"/>
      <c r="S18" s="344"/>
      <c r="T18" s="344"/>
      <c r="U18" s="344"/>
    </row>
    <row r="19" spans="2:21" x14ac:dyDescent="0.25">
      <c r="B19" s="305">
        <v>12</v>
      </c>
      <c r="C19" s="1186" t="s">
        <v>1030</v>
      </c>
      <c r="D19" s="1186"/>
      <c r="E19" s="344"/>
      <c r="F19" s="344"/>
      <c r="G19" s="344"/>
      <c r="H19" s="344"/>
      <c r="I19" s="344"/>
      <c r="J19" s="344"/>
      <c r="K19" s="344"/>
      <c r="L19" s="344"/>
      <c r="M19" s="344"/>
      <c r="N19" s="344"/>
      <c r="O19" s="344"/>
      <c r="P19" s="344"/>
      <c r="Q19" s="344"/>
      <c r="R19" s="344"/>
      <c r="S19" s="344"/>
      <c r="T19" s="344"/>
      <c r="U19" s="344"/>
    </row>
    <row r="20" spans="2:21" x14ac:dyDescent="0.25">
      <c r="B20" s="305">
        <v>13</v>
      </c>
      <c r="C20" s="1186" t="s">
        <v>1031</v>
      </c>
      <c r="D20" s="1186"/>
      <c r="E20" s="344"/>
      <c r="F20" s="344"/>
      <c r="G20" s="344"/>
      <c r="H20" s="344"/>
      <c r="I20" s="344"/>
      <c r="J20" s="344"/>
      <c r="K20" s="344"/>
      <c r="L20" s="344"/>
      <c r="M20" s="344"/>
      <c r="N20" s="344"/>
      <c r="O20" s="344"/>
      <c r="P20" s="344"/>
      <c r="Q20" s="344"/>
      <c r="R20" s="344"/>
      <c r="S20" s="344"/>
      <c r="T20" s="344"/>
      <c r="U20" s="344"/>
    </row>
    <row r="22" spans="2:21" ht="13.5" customHeight="1" x14ac:dyDescent="0.25"/>
  </sheetData>
  <mergeCells count="17">
    <mergeCell ref="C15:D15"/>
    <mergeCell ref="E6:I6"/>
    <mergeCell ref="J6:M6"/>
    <mergeCell ref="N6:Q6"/>
    <mergeCell ref="R6:U6"/>
    <mergeCell ref="C8:D8"/>
    <mergeCell ref="C9:D9"/>
    <mergeCell ref="C10:D10"/>
    <mergeCell ref="C11:D11"/>
    <mergeCell ref="C12:D12"/>
    <mergeCell ref="C13:D13"/>
    <mergeCell ref="C14:D14"/>
    <mergeCell ref="C16:D16"/>
    <mergeCell ref="C17:D17"/>
    <mergeCell ref="C18:D18"/>
    <mergeCell ref="C19:D19"/>
    <mergeCell ref="C20:D20"/>
  </mergeCells>
  <hyperlinks>
    <hyperlink ref="B2" location="Indhold!B61" display="Skema EU-SEC3 - Securitiseringseksponeringer uden for handelsbeholdningen og tilknyttede lovbestemte kapitalkrav - instituttet optræder som eksponeringsleverende eller organiserende institut" xr:uid="{28FFB980-4295-4DCD-BCC8-AA22DAA31312}"/>
  </hyperlinks>
  <pageMargins left="0.70866141732283472" right="0.70866141732283472" top="0.74803149606299213" bottom="0.74803149606299213" header="0.31496062992125984" footer="0.31496062992125984"/>
  <pageSetup paperSize="9" scale="50" orientation="landscape" cellComments="asDisplayed" r:id="rId1"/>
  <headerFooter>
    <oddHeader>&amp;CDA
Bilag XXVII</oddHeader>
    <oddFooter>&amp;C&amp;P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38EEB-6B23-4F30-B145-B3104025A3EA}">
  <sheetPr>
    <tabColor rgb="FF0070C0"/>
    <pageSetUpPr fitToPage="1"/>
  </sheetPr>
  <dimension ref="B2:U20"/>
  <sheetViews>
    <sheetView showGridLines="0" zoomScaleNormal="100" zoomScalePageLayoutView="80" workbookViewId="0">
      <selection activeCell="B2" sqref="B2"/>
    </sheetView>
  </sheetViews>
  <sheetFormatPr defaultColWidth="9.140625" defaultRowHeight="15" x14ac:dyDescent="0.25"/>
  <cols>
    <col min="2" max="2" width="4.5703125" customWidth="1"/>
    <col min="3" max="4" width="13.7109375" customWidth="1"/>
    <col min="5" max="21" width="13.42578125" customWidth="1"/>
  </cols>
  <sheetData>
    <row r="2" spans="2:21" ht="18.75" x14ac:dyDescent="0.3">
      <c r="B2" s="866" t="s">
        <v>1034</v>
      </c>
      <c r="D2" s="416"/>
      <c r="E2" s="416"/>
      <c r="F2" s="416"/>
      <c r="G2" s="416"/>
      <c r="H2" s="416"/>
      <c r="I2" s="416"/>
      <c r="J2" s="416"/>
      <c r="K2" s="416"/>
      <c r="L2" s="416"/>
      <c r="M2" s="416"/>
      <c r="N2" s="416"/>
      <c r="O2" s="416"/>
      <c r="P2" s="416"/>
      <c r="Q2" s="416"/>
      <c r="R2" s="416"/>
    </row>
    <row r="3" spans="2:21" ht="15" customHeight="1" x14ac:dyDescent="0.25"/>
    <row r="4" spans="2:21" ht="15" customHeight="1" x14ac:dyDescent="0.25"/>
    <row r="5" spans="2:21" x14ac:dyDescent="0.25">
      <c r="B5" s="438"/>
      <c r="C5" s="438"/>
      <c r="D5" s="842"/>
      <c r="E5" s="813" t="s">
        <v>103</v>
      </c>
      <c r="F5" s="813" t="s">
        <v>102</v>
      </c>
      <c r="G5" s="813" t="s">
        <v>97</v>
      </c>
      <c r="H5" s="813" t="s">
        <v>96</v>
      </c>
      <c r="I5" s="813" t="s">
        <v>95</v>
      </c>
      <c r="J5" s="813" t="s">
        <v>111</v>
      </c>
      <c r="K5" s="813" t="s">
        <v>112</v>
      </c>
      <c r="L5" s="813" t="s">
        <v>164</v>
      </c>
      <c r="M5" s="813" t="s">
        <v>323</v>
      </c>
      <c r="N5" s="813" t="s">
        <v>324</v>
      </c>
      <c r="O5" s="813" t="s">
        <v>325</v>
      </c>
      <c r="P5" s="813" t="s">
        <v>326</v>
      </c>
      <c r="Q5" s="813" t="s">
        <v>327</v>
      </c>
      <c r="R5" s="813" t="s">
        <v>354</v>
      </c>
      <c r="S5" s="813" t="s">
        <v>570</v>
      </c>
      <c r="T5" s="813" t="s">
        <v>1011</v>
      </c>
      <c r="U5" s="813" t="s">
        <v>1012</v>
      </c>
    </row>
    <row r="6" spans="2:21" ht="15" customHeight="1" x14ac:dyDescent="0.25">
      <c r="B6" s="438"/>
      <c r="C6" s="438"/>
      <c r="D6" s="842"/>
      <c r="E6" s="1187" t="s">
        <v>1013</v>
      </c>
      <c r="F6" s="1061"/>
      <c r="G6" s="1061"/>
      <c r="H6" s="1061"/>
      <c r="I6" s="1061"/>
      <c r="J6" s="1061" t="s">
        <v>1014</v>
      </c>
      <c r="K6" s="1061"/>
      <c r="L6" s="1061"/>
      <c r="M6" s="1061"/>
      <c r="N6" s="1061" t="s">
        <v>1015</v>
      </c>
      <c r="O6" s="1061"/>
      <c r="P6" s="1061"/>
      <c r="Q6" s="1061"/>
      <c r="R6" s="1061" t="s">
        <v>1016</v>
      </c>
      <c r="S6" s="1061"/>
      <c r="T6" s="1061"/>
      <c r="U6" s="1061"/>
    </row>
    <row r="7" spans="2:21" s="88" customFormat="1" ht="45" x14ac:dyDescent="0.25">
      <c r="B7" s="843"/>
      <c r="C7" s="843"/>
      <c r="D7" s="843"/>
      <c r="E7" s="810" t="s">
        <v>1017</v>
      </c>
      <c r="F7" s="810" t="s">
        <v>1018</v>
      </c>
      <c r="G7" s="810" t="s">
        <v>1019</v>
      </c>
      <c r="H7" s="810" t="s">
        <v>1020</v>
      </c>
      <c r="I7" s="810" t="s">
        <v>1021</v>
      </c>
      <c r="J7" s="810" t="s">
        <v>1022</v>
      </c>
      <c r="K7" s="810" t="s">
        <v>1023</v>
      </c>
      <c r="L7" s="810" t="s">
        <v>1024</v>
      </c>
      <c r="M7" s="844" t="s">
        <v>1021</v>
      </c>
      <c r="N7" s="810" t="s">
        <v>1022</v>
      </c>
      <c r="O7" s="810" t="s">
        <v>1023</v>
      </c>
      <c r="P7" s="810" t="s">
        <v>1024</v>
      </c>
      <c r="Q7" s="844" t="s">
        <v>1021</v>
      </c>
      <c r="R7" s="810" t="s">
        <v>1022</v>
      </c>
      <c r="S7" s="810" t="s">
        <v>1023</v>
      </c>
      <c r="T7" s="810" t="s">
        <v>1024</v>
      </c>
      <c r="U7" s="844" t="s">
        <v>1021</v>
      </c>
    </row>
    <row r="8" spans="2:21" x14ac:dyDescent="0.25">
      <c r="B8" s="350">
        <v>1</v>
      </c>
      <c r="C8" s="1188" t="s">
        <v>998</v>
      </c>
      <c r="D8" s="1188"/>
      <c r="E8" s="840"/>
      <c r="F8" s="840"/>
      <c r="G8" s="840"/>
      <c r="H8" s="840"/>
      <c r="I8" s="840"/>
      <c r="J8" s="840"/>
      <c r="K8" s="840"/>
      <c r="L8" s="840"/>
      <c r="M8" s="840"/>
      <c r="N8" s="840"/>
      <c r="O8" s="840"/>
      <c r="P8" s="840"/>
      <c r="Q8" s="840"/>
      <c r="R8" s="840"/>
      <c r="S8" s="840"/>
      <c r="T8" s="840"/>
      <c r="U8" s="840"/>
    </row>
    <row r="9" spans="2:21" x14ac:dyDescent="0.25">
      <c r="B9" s="305">
        <v>2</v>
      </c>
      <c r="C9" s="1186" t="s">
        <v>1035</v>
      </c>
      <c r="D9" s="1186"/>
      <c r="E9" s="344"/>
      <c r="F9" s="344"/>
      <c r="G9" s="344"/>
      <c r="H9" s="344"/>
      <c r="I9" s="344"/>
      <c r="J9" s="344"/>
      <c r="K9" s="344"/>
      <c r="L9" s="344"/>
      <c r="M9" s="344"/>
      <c r="N9" s="344"/>
      <c r="O9" s="344"/>
      <c r="P9" s="344"/>
      <c r="Q9" s="344"/>
      <c r="R9" s="344"/>
      <c r="S9" s="344"/>
      <c r="T9" s="344"/>
      <c r="U9" s="344"/>
    </row>
    <row r="10" spans="2:21" x14ac:dyDescent="0.25">
      <c r="B10" s="305">
        <v>3</v>
      </c>
      <c r="C10" s="1186" t="s">
        <v>1027</v>
      </c>
      <c r="D10" s="1186"/>
      <c r="E10" s="344"/>
      <c r="F10" s="344"/>
      <c r="G10" s="344"/>
      <c r="H10" s="344"/>
      <c r="I10" s="344"/>
      <c r="J10" s="344"/>
      <c r="K10" s="344"/>
      <c r="L10" s="344"/>
      <c r="M10" s="344"/>
      <c r="N10" s="344"/>
      <c r="O10" s="344"/>
      <c r="P10" s="344"/>
      <c r="Q10" s="344"/>
      <c r="R10" s="344"/>
      <c r="S10" s="344"/>
      <c r="T10" s="344"/>
      <c r="U10" s="344"/>
    </row>
    <row r="11" spans="2:21" x14ac:dyDescent="0.25">
      <c r="B11" s="305">
        <v>4</v>
      </c>
      <c r="C11" s="1186" t="s">
        <v>1033</v>
      </c>
      <c r="D11" s="1186"/>
      <c r="E11" s="344"/>
      <c r="F11" s="344"/>
      <c r="G11" s="344"/>
      <c r="H11" s="344"/>
      <c r="I11" s="344"/>
      <c r="J11" s="344"/>
      <c r="K11" s="344"/>
      <c r="L11" s="344"/>
      <c r="M11" s="344"/>
      <c r="N11" s="344"/>
      <c r="O11" s="344"/>
      <c r="P11" s="344"/>
      <c r="Q11" s="344"/>
      <c r="R11" s="344"/>
      <c r="S11" s="344"/>
      <c r="T11" s="344"/>
      <c r="U11" s="344"/>
    </row>
    <row r="12" spans="2:21" x14ac:dyDescent="0.25">
      <c r="B12" s="305">
        <v>5</v>
      </c>
      <c r="C12" s="1189" t="s">
        <v>1029</v>
      </c>
      <c r="D12" s="1189"/>
      <c r="E12" s="344"/>
      <c r="F12" s="344"/>
      <c r="G12" s="344"/>
      <c r="H12" s="344"/>
      <c r="I12" s="344"/>
      <c r="J12" s="344"/>
      <c r="K12" s="344"/>
      <c r="L12" s="344"/>
      <c r="M12" s="344"/>
      <c r="N12" s="344"/>
      <c r="O12" s="344"/>
      <c r="P12" s="344"/>
      <c r="Q12" s="344"/>
      <c r="R12" s="344"/>
      <c r="S12" s="344"/>
      <c r="T12" s="344"/>
      <c r="U12" s="344"/>
    </row>
    <row r="13" spans="2:21" x14ac:dyDescent="0.25">
      <c r="B13" s="305">
        <v>6</v>
      </c>
      <c r="C13" s="1186" t="s">
        <v>1030</v>
      </c>
      <c r="D13" s="1186"/>
      <c r="E13" s="344"/>
      <c r="F13" s="344"/>
      <c r="G13" s="344"/>
      <c r="H13" s="344"/>
      <c r="I13" s="344"/>
      <c r="J13" s="344"/>
      <c r="K13" s="344"/>
      <c r="L13" s="344"/>
      <c r="M13" s="344"/>
      <c r="N13" s="344"/>
      <c r="O13" s="344"/>
      <c r="P13" s="344"/>
      <c r="Q13" s="344"/>
      <c r="R13" s="344"/>
      <c r="S13" s="344"/>
      <c r="T13" s="344"/>
      <c r="U13" s="344"/>
    </row>
    <row r="14" spans="2:21" x14ac:dyDescent="0.25">
      <c r="B14" s="305">
        <v>7</v>
      </c>
      <c r="C14" s="1189" t="s">
        <v>1029</v>
      </c>
      <c r="D14" s="1189"/>
      <c r="E14" s="344"/>
      <c r="F14" s="344"/>
      <c r="G14" s="344"/>
      <c r="H14" s="344"/>
      <c r="I14" s="344"/>
      <c r="J14" s="344"/>
      <c r="K14" s="344"/>
      <c r="L14" s="344"/>
      <c r="M14" s="344"/>
      <c r="N14" s="344"/>
      <c r="O14" s="344"/>
      <c r="P14" s="344"/>
      <c r="Q14" s="344"/>
      <c r="R14" s="344"/>
      <c r="S14" s="344"/>
      <c r="T14" s="344"/>
      <c r="U14" s="344"/>
    </row>
    <row r="15" spans="2:21" x14ac:dyDescent="0.25">
      <c r="B15" s="305">
        <v>8</v>
      </c>
      <c r="C15" s="1186" t="s">
        <v>1031</v>
      </c>
      <c r="D15" s="1186"/>
      <c r="E15" s="344"/>
      <c r="F15" s="344"/>
      <c r="G15" s="344"/>
      <c r="H15" s="344"/>
      <c r="I15" s="344"/>
      <c r="J15" s="344"/>
      <c r="K15" s="344"/>
      <c r="L15" s="344"/>
      <c r="M15" s="344"/>
      <c r="N15" s="344"/>
      <c r="O15" s="344"/>
      <c r="P15" s="344"/>
      <c r="Q15" s="344"/>
      <c r="R15" s="344"/>
      <c r="S15" s="344"/>
      <c r="T15" s="344"/>
      <c r="U15" s="344"/>
    </row>
    <row r="16" spans="2:21" x14ac:dyDescent="0.25">
      <c r="B16" s="305">
        <v>9</v>
      </c>
      <c r="C16" s="1186" t="s">
        <v>1036</v>
      </c>
      <c r="D16" s="1186"/>
      <c r="E16" s="344"/>
      <c r="F16" s="344"/>
      <c r="G16" s="344"/>
      <c r="H16" s="344"/>
      <c r="I16" s="344"/>
      <c r="J16" s="344"/>
      <c r="K16" s="344"/>
      <c r="L16" s="344"/>
      <c r="M16" s="344"/>
      <c r="N16" s="344"/>
      <c r="O16" s="344"/>
      <c r="P16" s="344"/>
      <c r="Q16" s="344"/>
      <c r="R16" s="344"/>
      <c r="S16" s="344"/>
      <c r="T16" s="344"/>
      <c r="U16" s="344"/>
    </row>
    <row r="17" spans="2:21" x14ac:dyDescent="0.25">
      <c r="B17" s="305">
        <v>10</v>
      </c>
      <c r="C17" s="1186" t="s">
        <v>1027</v>
      </c>
      <c r="D17" s="1186"/>
      <c r="E17" s="344"/>
      <c r="F17" s="344"/>
      <c r="G17" s="344"/>
      <c r="H17" s="344"/>
      <c r="I17" s="344"/>
      <c r="J17" s="344"/>
      <c r="K17" s="344"/>
      <c r="L17" s="344"/>
      <c r="M17" s="344"/>
      <c r="N17" s="344"/>
      <c r="O17" s="344"/>
      <c r="P17" s="344"/>
      <c r="Q17" s="344"/>
      <c r="R17" s="344"/>
      <c r="S17" s="344"/>
      <c r="T17" s="344"/>
      <c r="U17" s="344"/>
    </row>
    <row r="18" spans="2:21" x14ac:dyDescent="0.25">
      <c r="B18" s="305">
        <v>11</v>
      </c>
      <c r="C18" s="1186" t="s">
        <v>1033</v>
      </c>
      <c r="D18" s="1186"/>
      <c r="E18" s="344"/>
      <c r="F18" s="344"/>
      <c r="G18" s="344"/>
      <c r="H18" s="344"/>
      <c r="I18" s="344"/>
      <c r="J18" s="344"/>
      <c r="K18" s="344"/>
      <c r="L18" s="344"/>
      <c r="M18" s="344"/>
      <c r="N18" s="344"/>
      <c r="O18" s="344"/>
      <c r="P18" s="344"/>
      <c r="Q18" s="344"/>
      <c r="R18" s="344"/>
      <c r="S18" s="344"/>
      <c r="T18" s="344"/>
      <c r="U18" s="344"/>
    </row>
    <row r="19" spans="2:21" x14ac:dyDescent="0.25">
      <c r="B19" s="305">
        <v>12</v>
      </c>
      <c r="C19" s="1186" t="s">
        <v>1030</v>
      </c>
      <c r="D19" s="1186"/>
      <c r="E19" s="344"/>
      <c r="F19" s="344"/>
      <c r="G19" s="344"/>
      <c r="H19" s="344"/>
      <c r="I19" s="344"/>
      <c r="J19" s="344"/>
      <c r="K19" s="344"/>
      <c r="L19" s="344"/>
      <c r="M19" s="344"/>
      <c r="N19" s="344"/>
      <c r="O19" s="344"/>
      <c r="P19" s="344"/>
      <c r="Q19" s="344"/>
      <c r="R19" s="344"/>
      <c r="S19" s="344"/>
      <c r="T19" s="344"/>
      <c r="U19" s="344"/>
    </row>
    <row r="20" spans="2:21" x14ac:dyDescent="0.25">
      <c r="B20" s="305">
        <v>13</v>
      </c>
      <c r="C20" s="1186" t="s">
        <v>1031</v>
      </c>
      <c r="D20" s="1186"/>
      <c r="E20" s="344"/>
      <c r="F20" s="344"/>
      <c r="G20" s="344"/>
      <c r="H20" s="344"/>
      <c r="I20" s="344"/>
      <c r="J20" s="344"/>
      <c r="K20" s="344"/>
      <c r="L20" s="344"/>
      <c r="M20" s="344"/>
      <c r="N20" s="344"/>
      <c r="O20" s="344"/>
      <c r="P20" s="344"/>
      <c r="Q20" s="344"/>
      <c r="R20" s="344"/>
      <c r="S20" s="344"/>
      <c r="T20" s="344"/>
      <c r="U20" s="344"/>
    </row>
  </sheetData>
  <mergeCells count="17">
    <mergeCell ref="C15:D15"/>
    <mergeCell ref="E6:I6"/>
    <mergeCell ref="J6:M6"/>
    <mergeCell ref="N6:Q6"/>
    <mergeCell ref="R6:U6"/>
    <mergeCell ref="C8:D8"/>
    <mergeCell ref="C9:D9"/>
    <mergeCell ref="C10:D10"/>
    <mergeCell ref="C11:D11"/>
    <mergeCell ref="C12:D12"/>
    <mergeCell ref="C13:D13"/>
    <mergeCell ref="C14:D14"/>
    <mergeCell ref="C16:D16"/>
    <mergeCell ref="C17:D17"/>
    <mergeCell ref="C18:D18"/>
    <mergeCell ref="C19:D19"/>
    <mergeCell ref="C20:D20"/>
  </mergeCells>
  <hyperlinks>
    <hyperlink ref="B2" location="Indhold!B62" display="Skema EU-SEC4 - Securitiseringseksponeringer uden for handelsbeholdningen og tilknyttede lovpligtige kapitalkrav - instituttet optræder som investorinstitut" xr:uid="{ED76C27C-9091-4AD9-A6FF-CED17AD65594}"/>
  </hyperlinks>
  <pageMargins left="0.70866141732283472" right="0.70866141732283472" top="0.74803149606299213" bottom="0.74803149606299213" header="0.31496062992125984" footer="0.31496062992125984"/>
  <pageSetup paperSize="9" scale="50" orientation="landscape" cellComments="asDisplayed" r:id="rId1"/>
  <headerFooter>
    <oddHeader>&amp;CDA
Bilag XXVII</oddHeader>
    <oddFooter>&amp;C&amp;P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68A19-0A69-47EB-A590-6218E457092C}">
  <sheetPr>
    <tabColor rgb="FF0070C0"/>
    <pageSetUpPr fitToPage="1"/>
  </sheetPr>
  <dimension ref="B2:R20"/>
  <sheetViews>
    <sheetView showGridLines="0" zoomScaleNormal="100" workbookViewId="0">
      <selection activeCell="B2" sqref="B2"/>
    </sheetView>
  </sheetViews>
  <sheetFormatPr defaultColWidth="9.140625" defaultRowHeight="15" x14ac:dyDescent="0.25"/>
  <cols>
    <col min="2" max="2" width="5.7109375" customWidth="1"/>
    <col min="3" max="3" width="27.140625" customWidth="1"/>
    <col min="4" max="4" width="33.140625" customWidth="1"/>
    <col min="5" max="5" width="31.42578125" bestFit="1" customWidth="1"/>
    <col min="6" max="6" width="73.140625" bestFit="1" customWidth="1"/>
  </cols>
  <sheetData>
    <row r="2" spans="2:18" ht="18.75" x14ac:dyDescent="0.3">
      <c r="B2" s="866" t="s">
        <v>1037</v>
      </c>
      <c r="D2" s="416"/>
      <c r="E2" s="416"/>
      <c r="F2" s="416"/>
      <c r="G2" s="416"/>
      <c r="H2" s="416"/>
      <c r="I2" s="416"/>
      <c r="J2" s="416"/>
      <c r="K2" s="416"/>
      <c r="L2" s="416"/>
      <c r="M2" s="416"/>
      <c r="N2" s="416"/>
      <c r="O2" s="416"/>
      <c r="P2" s="416"/>
      <c r="Q2" s="416"/>
      <c r="R2" s="416"/>
    </row>
    <row r="3" spans="2:18" x14ac:dyDescent="0.25">
      <c r="C3" s="351"/>
      <c r="D3" s="351"/>
      <c r="E3" s="351"/>
      <c r="F3" s="351"/>
    </row>
    <row r="5" spans="2:18" x14ac:dyDescent="0.25">
      <c r="B5" s="830"/>
      <c r="C5" s="830"/>
      <c r="D5" s="814" t="s">
        <v>103</v>
      </c>
      <c r="E5" s="814" t="s">
        <v>102</v>
      </c>
      <c r="F5" s="814" t="s">
        <v>97</v>
      </c>
    </row>
    <row r="6" spans="2:18" x14ac:dyDescent="0.25">
      <c r="B6" s="830"/>
      <c r="C6" s="830"/>
      <c r="D6" s="1061" t="s">
        <v>1038</v>
      </c>
      <c r="E6" s="1061"/>
      <c r="F6" s="1061"/>
    </row>
    <row r="7" spans="2:18" x14ac:dyDescent="0.25">
      <c r="B7" s="830"/>
      <c r="C7" s="830"/>
      <c r="D7" s="1190" t="s">
        <v>1039</v>
      </c>
      <c r="E7" s="1175"/>
      <c r="F7" s="1043" t="s">
        <v>1040</v>
      </c>
    </row>
    <row r="8" spans="2:18" x14ac:dyDescent="0.25">
      <c r="B8" s="830"/>
      <c r="C8" s="830"/>
      <c r="D8" s="845"/>
      <c r="E8" s="838" t="s">
        <v>660</v>
      </c>
      <c r="F8" s="1176"/>
    </row>
    <row r="9" spans="2:18" x14ac:dyDescent="0.25">
      <c r="B9" s="341">
        <v>1</v>
      </c>
      <c r="C9" s="342" t="s">
        <v>998</v>
      </c>
      <c r="D9" s="305"/>
      <c r="E9" s="340"/>
      <c r="F9" s="836"/>
    </row>
    <row r="10" spans="2:18" x14ac:dyDescent="0.25">
      <c r="B10" s="132">
        <v>2</v>
      </c>
      <c r="C10" s="345" t="s">
        <v>999</v>
      </c>
      <c r="D10" s="305"/>
      <c r="E10" s="305"/>
      <c r="F10" s="305"/>
    </row>
    <row r="11" spans="2:18" x14ac:dyDescent="0.25">
      <c r="B11" s="132">
        <v>3</v>
      </c>
      <c r="C11" s="344" t="s">
        <v>1000</v>
      </c>
      <c r="D11" s="344"/>
      <c r="E11" s="344"/>
      <c r="F11" s="344"/>
    </row>
    <row r="12" spans="2:18" x14ac:dyDescent="0.25">
      <c r="B12" s="132">
        <v>4</v>
      </c>
      <c r="C12" s="344" t="s">
        <v>1001</v>
      </c>
      <c r="D12" s="344"/>
      <c r="E12" s="344"/>
      <c r="F12" s="344"/>
    </row>
    <row r="13" spans="2:18" x14ac:dyDescent="0.25">
      <c r="B13" s="132">
        <v>5</v>
      </c>
      <c r="C13" s="344" t="s">
        <v>1002</v>
      </c>
      <c r="D13" s="344"/>
      <c r="E13" s="344"/>
      <c r="F13" s="344"/>
    </row>
    <row r="14" spans="2:18" x14ac:dyDescent="0.25">
      <c r="B14" s="132">
        <v>6</v>
      </c>
      <c r="C14" s="344" t="s">
        <v>1003</v>
      </c>
      <c r="D14" s="344"/>
      <c r="E14" s="344"/>
      <c r="F14" s="344"/>
    </row>
    <row r="15" spans="2:18" x14ac:dyDescent="0.25">
      <c r="B15" s="132">
        <v>7</v>
      </c>
      <c r="C15" s="345" t="s">
        <v>1004</v>
      </c>
      <c r="D15" s="305"/>
      <c r="E15" s="305"/>
      <c r="F15" s="305"/>
    </row>
    <row r="16" spans="2:18" x14ac:dyDescent="0.25">
      <c r="B16" s="132">
        <v>8</v>
      </c>
      <c r="C16" s="344" t="s">
        <v>1005</v>
      </c>
      <c r="D16" s="344"/>
      <c r="E16" s="344"/>
      <c r="F16" s="344"/>
    </row>
    <row r="17" spans="2:6" x14ac:dyDescent="0.25">
      <c r="B17" s="132">
        <v>9</v>
      </c>
      <c r="C17" s="344" t="s">
        <v>1006</v>
      </c>
      <c r="D17" s="344"/>
      <c r="E17" s="344"/>
      <c r="F17" s="344"/>
    </row>
    <row r="18" spans="2:6" x14ac:dyDescent="0.25">
      <c r="B18" s="132">
        <v>10</v>
      </c>
      <c r="C18" s="344" t="s">
        <v>1007</v>
      </c>
      <c r="D18" s="344"/>
      <c r="E18" s="344"/>
      <c r="F18" s="344"/>
    </row>
    <row r="19" spans="2:6" x14ac:dyDescent="0.25">
      <c r="B19" s="132">
        <v>11</v>
      </c>
      <c r="C19" s="344" t="s">
        <v>1008</v>
      </c>
      <c r="D19" s="344"/>
      <c r="E19" s="344"/>
      <c r="F19" s="344"/>
    </row>
    <row r="20" spans="2:6" x14ac:dyDescent="0.25">
      <c r="B20" s="132">
        <v>12</v>
      </c>
      <c r="C20" s="344" t="s">
        <v>1003</v>
      </c>
      <c r="D20" s="344"/>
      <c r="E20" s="344"/>
      <c r="F20" s="344"/>
    </row>
  </sheetData>
  <mergeCells count="3">
    <mergeCell ref="D6:F6"/>
    <mergeCell ref="D7:E7"/>
    <mergeCell ref="F7:F8"/>
  </mergeCells>
  <hyperlinks>
    <hyperlink ref="B2" location="Indhold!B63" display="Skema EU-SEC5 - Eksponeringer securitiseret af instituttet - Misligholdte eksponeringer og specifikke kreditrisikojusteringer" xr:uid="{64ADFC4A-2835-45A5-9DDE-C0F3557A0772}"/>
  </hyperlinks>
  <pageMargins left="0.70866141732283472" right="0.70866141732283472" top="0.74803149606299213" bottom="0.74803149606299213" header="0.31496062992125984" footer="0.31496062992125984"/>
  <pageSetup paperSize="9" scale="82" orientation="landscape" r:id="rId1"/>
  <headerFooter>
    <oddHeader>&amp;CDA
Bilag XXVII</oddHeader>
    <oddFooter>&amp;C&amp;P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77566-46E1-4D1C-BA14-B29F88DEDB0D}">
  <sheetPr>
    <tabColor rgb="FF0070C0"/>
    <pageSetUpPr fitToPage="1"/>
  </sheetPr>
  <dimension ref="B2:R30"/>
  <sheetViews>
    <sheetView showGridLines="0" zoomScaleNormal="100" zoomScalePageLayoutView="90" workbookViewId="0">
      <selection activeCell="B2" sqref="B2"/>
    </sheetView>
  </sheetViews>
  <sheetFormatPr defaultColWidth="9.140625" defaultRowHeight="15" x14ac:dyDescent="0.25"/>
  <cols>
    <col min="1" max="1" width="9.140625" style="1"/>
    <col min="2" max="2" width="5" style="1" customWidth="1"/>
    <col min="3" max="3" width="43" style="1" customWidth="1"/>
    <col min="4" max="4" width="75.28515625" style="1" customWidth="1"/>
    <col min="5" max="5" width="24.42578125" style="1" customWidth="1"/>
    <col min="6" max="6" width="23.28515625" style="1" customWidth="1"/>
    <col min="7" max="7" width="21" style="1" customWidth="1"/>
    <col min="8" max="8" width="25" style="1" customWidth="1"/>
    <col min="9" max="9" width="25.28515625" style="1" customWidth="1"/>
    <col min="10" max="10" width="23.140625" style="1" customWidth="1"/>
    <col min="11" max="11" width="29.7109375" style="1" customWidth="1"/>
    <col min="12" max="12" width="22" style="1" customWidth="1"/>
    <col min="13" max="13" width="16.42578125" style="1" customWidth="1"/>
    <col min="14" max="14" width="14.85546875" style="1" customWidth="1"/>
    <col min="15" max="15" width="14.5703125" style="1" customWidth="1"/>
    <col min="16" max="16" width="31.5703125" style="1" customWidth="1"/>
    <col min="17" max="16384" width="9.140625" style="1"/>
  </cols>
  <sheetData>
    <row r="2" spans="2:18" ht="18.75" x14ac:dyDescent="0.3">
      <c r="B2" s="866" t="s">
        <v>1143</v>
      </c>
      <c r="D2" s="416"/>
      <c r="E2" s="416"/>
      <c r="F2" s="416"/>
      <c r="G2" s="416"/>
      <c r="H2" s="416"/>
      <c r="I2" s="416"/>
      <c r="J2" s="416"/>
      <c r="K2" s="416"/>
      <c r="L2" s="416"/>
      <c r="M2" s="416"/>
      <c r="N2" s="416"/>
      <c r="O2" s="416"/>
      <c r="P2" s="416"/>
      <c r="Q2" s="416"/>
      <c r="R2" s="416"/>
    </row>
    <row r="5" spans="2:18" x14ac:dyDescent="0.25">
      <c r="B5" s="438"/>
      <c r="C5" s="846"/>
      <c r="D5" s="438"/>
      <c r="E5" s="814" t="s">
        <v>103</v>
      </c>
      <c r="F5" s="814" t="s">
        <v>102</v>
      </c>
      <c r="G5" s="814" t="s">
        <v>97</v>
      </c>
      <c r="H5" s="814" t="s">
        <v>96</v>
      </c>
    </row>
    <row r="6" spans="2:18" ht="30" x14ac:dyDescent="0.25">
      <c r="B6" s="438"/>
      <c r="C6" s="1199"/>
      <c r="D6" s="1200"/>
      <c r="E6" s="565" t="s">
        <v>1118</v>
      </c>
      <c r="F6" s="565" t="s">
        <v>1119</v>
      </c>
      <c r="G6" s="565" t="s">
        <v>1120</v>
      </c>
      <c r="H6" s="565" t="s">
        <v>1121</v>
      </c>
    </row>
    <row r="7" spans="2:18" x14ac:dyDescent="0.25">
      <c r="B7" s="305"/>
      <c r="C7" s="1196" t="s">
        <v>1144</v>
      </c>
      <c r="D7" s="1197"/>
      <c r="E7" s="1201"/>
      <c r="F7" s="1201"/>
      <c r="G7" s="1201"/>
      <c r="H7" s="1202"/>
    </row>
    <row r="8" spans="2:18" x14ac:dyDescent="0.25">
      <c r="B8" s="305">
        <v>1</v>
      </c>
      <c r="C8" s="1194" t="s">
        <v>1145</v>
      </c>
      <c r="D8" s="1195"/>
      <c r="E8" s="374">
        <v>0</v>
      </c>
      <c r="F8" s="374">
        <v>0</v>
      </c>
      <c r="G8" s="374">
        <v>0</v>
      </c>
      <c r="H8" s="374">
        <v>0</v>
      </c>
    </row>
    <row r="9" spans="2:18" x14ac:dyDescent="0.25">
      <c r="B9" s="305">
        <v>2</v>
      </c>
      <c r="C9" s="1194" t="s">
        <v>1146</v>
      </c>
      <c r="D9" s="1195"/>
      <c r="E9" s="374">
        <v>0</v>
      </c>
      <c r="F9" s="374">
        <v>0</v>
      </c>
      <c r="G9" s="374">
        <v>0</v>
      </c>
      <c r="H9" s="374">
        <v>0</v>
      </c>
    </row>
    <row r="10" spans="2:18" x14ac:dyDescent="0.25">
      <c r="B10" s="305">
        <v>3</v>
      </c>
      <c r="C10" s="1191" t="s">
        <v>1147</v>
      </c>
      <c r="D10" s="1192"/>
      <c r="E10" s="376">
        <v>0</v>
      </c>
      <c r="F10" s="376">
        <v>0</v>
      </c>
      <c r="G10" s="376">
        <v>0</v>
      </c>
      <c r="H10" s="376">
        <v>0</v>
      </c>
    </row>
    <row r="11" spans="2:18" x14ac:dyDescent="0.25">
      <c r="B11" s="305"/>
      <c r="C11" s="1196" t="s">
        <v>1148</v>
      </c>
      <c r="D11" s="1197"/>
      <c r="E11" s="1197"/>
      <c r="F11" s="1197"/>
      <c r="G11" s="1197"/>
      <c r="H11" s="1198"/>
    </row>
    <row r="12" spans="2:18" x14ac:dyDescent="0.25">
      <c r="B12" s="305">
        <v>4</v>
      </c>
      <c r="C12" s="1194" t="s">
        <v>1149</v>
      </c>
      <c r="D12" s="1195"/>
      <c r="E12" s="374">
        <v>0</v>
      </c>
      <c r="F12" s="374">
        <v>0</v>
      </c>
      <c r="G12" s="374">
        <v>0</v>
      </c>
      <c r="H12" s="374">
        <v>0</v>
      </c>
    </row>
    <row r="13" spans="2:18" x14ac:dyDescent="0.25">
      <c r="B13" s="305">
        <v>5</v>
      </c>
      <c r="C13" s="1194" t="s">
        <v>1150</v>
      </c>
      <c r="D13" s="1195"/>
      <c r="E13" s="374">
        <v>0</v>
      </c>
      <c r="F13" s="374">
        <v>0</v>
      </c>
      <c r="G13" s="374">
        <v>0</v>
      </c>
      <c r="H13" s="374">
        <v>0</v>
      </c>
    </row>
    <row r="14" spans="2:18" x14ac:dyDescent="0.25">
      <c r="B14" s="305"/>
      <c r="C14" s="1196" t="s">
        <v>1151</v>
      </c>
      <c r="D14" s="1197"/>
      <c r="E14" s="1197"/>
      <c r="F14" s="1197"/>
      <c r="G14" s="1197"/>
      <c r="H14" s="1198"/>
    </row>
    <row r="15" spans="2:18" x14ac:dyDescent="0.25">
      <c r="B15" s="305">
        <v>6</v>
      </c>
      <c r="C15" s="1194" t="s">
        <v>1152</v>
      </c>
      <c r="D15" s="1195"/>
      <c r="E15" s="374">
        <v>0</v>
      </c>
      <c r="F15" s="374">
        <v>0</v>
      </c>
      <c r="G15" s="374">
        <v>0</v>
      </c>
      <c r="H15" s="374">
        <v>0</v>
      </c>
    </row>
    <row r="16" spans="2:18" x14ac:dyDescent="0.25">
      <c r="B16" s="305">
        <v>7</v>
      </c>
      <c r="C16" s="1194" t="s">
        <v>1153</v>
      </c>
      <c r="D16" s="1195"/>
      <c r="E16" s="374">
        <v>0</v>
      </c>
      <c r="F16" s="374">
        <v>0</v>
      </c>
      <c r="G16" s="374">
        <v>0</v>
      </c>
      <c r="H16" s="374">
        <v>0</v>
      </c>
    </row>
    <row r="17" spans="2:8" x14ac:dyDescent="0.25">
      <c r="B17" s="305">
        <v>8</v>
      </c>
      <c r="C17" s="1191" t="s">
        <v>1154</v>
      </c>
      <c r="D17" s="1192"/>
      <c r="E17" s="374">
        <v>0</v>
      </c>
      <c r="F17" s="374">
        <v>0</v>
      </c>
      <c r="G17" s="374">
        <v>0</v>
      </c>
      <c r="H17" s="374">
        <v>0</v>
      </c>
    </row>
    <row r="18" spans="2:8" ht="15" customHeight="1" x14ac:dyDescent="0.25">
      <c r="B18" s="305">
        <v>9</v>
      </c>
      <c r="C18" s="1191" t="s">
        <v>1155</v>
      </c>
      <c r="D18" s="1192"/>
      <c r="E18" s="374">
        <v>0</v>
      </c>
      <c r="F18" s="374">
        <v>0</v>
      </c>
      <c r="G18" s="374">
        <v>0</v>
      </c>
      <c r="H18" s="374">
        <v>0</v>
      </c>
    </row>
    <row r="19" spans="2:8" ht="15" customHeight="1" x14ac:dyDescent="0.25">
      <c r="B19" s="305">
        <v>10</v>
      </c>
      <c r="C19" s="1191" t="s">
        <v>1156</v>
      </c>
      <c r="D19" s="1192"/>
      <c r="E19" s="374">
        <v>0</v>
      </c>
      <c r="F19" s="374">
        <v>0</v>
      </c>
      <c r="G19" s="374">
        <v>0</v>
      </c>
      <c r="H19" s="374">
        <v>0</v>
      </c>
    </row>
    <row r="20" spans="2:8" x14ac:dyDescent="0.25">
      <c r="B20" s="305">
        <v>11</v>
      </c>
      <c r="C20" s="1191" t="s">
        <v>1157</v>
      </c>
      <c r="D20" s="1192"/>
      <c r="E20" s="374">
        <v>0</v>
      </c>
      <c r="F20" s="374">
        <v>0</v>
      </c>
      <c r="G20" s="374">
        <v>0</v>
      </c>
      <c r="H20" s="374">
        <v>0</v>
      </c>
    </row>
    <row r="26" spans="2:8" x14ac:dyDescent="0.25">
      <c r="C26" s="1193"/>
      <c r="D26" s="1193"/>
      <c r="E26" s="1193"/>
      <c r="F26" s="1193"/>
      <c r="G26" s="1193"/>
      <c r="H26" s="1193"/>
    </row>
    <row r="30" spans="2:8" ht="29.25" customHeight="1" x14ac:dyDescent="0.25"/>
  </sheetData>
  <mergeCells count="16">
    <mergeCell ref="C11:H11"/>
    <mergeCell ref="C6:D6"/>
    <mergeCell ref="C7:H7"/>
    <mergeCell ref="C8:D8"/>
    <mergeCell ref="C9:D9"/>
    <mergeCell ref="C10:D10"/>
    <mergeCell ref="C18:D18"/>
    <mergeCell ref="C19:D19"/>
    <mergeCell ref="C20:D20"/>
    <mergeCell ref="C26:H26"/>
    <mergeCell ref="C12:D12"/>
    <mergeCell ref="C13:D13"/>
    <mergeCell ref="C14:H14"/>
    <mergeCell ref="C15:D15"/>
    <mergeCell ref="C16:D16"/>
    <mergeCell ref="C17:D17"/>
  </mergeCells>
  <hyperlinks>
    <hyperlink ref="B2" location="Indhold!B64" display="Skema EU REM2 – Særlige betalinger til medarbejdere, hvis arbejde har væsentlig indflydelse på instituttets risikoprofil (identificerede medarbejdere)" xr:uid="{2B9D6858-E5A4-4EAB-A804-0B7CF2AD3334}"/>
  </hyperlinks>
  <pageMargins left="0.70866141732283472" right="0.70866141732283472" top="0.74803149606299213" bottom="0.74803149606299213" header="0.31496062992125984" footer="0.31496062992125984"/>
  <pageSetup paperSize="9" scale="60" fitToHeight="0" orientation="landscape" cellComments="asDisplayed" r:id="rId1"/>
  <headerFooter>
    <oddHeader>&amp;CDA
Bilag XXXIII</oddHeader>
    <oddFooter>&amp;C&amp;P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B3F74-1A68-4214-B013-03017BAE0327}">
  <sheetPr>
    <tabColor rgb="FF0070C0"/>
    <pageSetUpPr fitToPage="1"/>
  </sheetPr>
  <dimension ref="B2:Y31"/>
  <sheetViews>
    <sheetView showGridLines="0" zoomScaleNormal="100" zoomScalePageLayoutView="90" workbookViewId="0">
      <selection activeCell="B2" sqref="B2"/>
    </sheetView>
  </sheetViews>
  <sheetFormatPr defaultColWidth="9.140625" defaultRowHeight="15" x14ac:dyDescent="0.25"/>
  <cols>
    <col min="1" max="2" width="9.140625" style="1"/>
    <col min="3" max="3" width="28.7109375" style="1" customWidth="1"/>
    <col min="4" max="8" width="20" style="1" customWidth="1"/>
    <col min="9" max="9" width="20" style="377" customWidth="1"/>
    <col min="10" max="10" width="20" style="1" customWidth="1"/>
    <col min="11" max="11" width="22.140625" style="1" customWidth="1"/>
    <col min="12" max="12" width="9.140625" style="1"/>
    <col min="13" max="13" width="255.7109375" style="1" bestFit="1" customWidth="1"/>
    <col min="14" max="16384" width="9.140625" style="1"/>
  </cols>
  <sheetData>
    <row r="2" spans="2:25" ht="18.75" x14ac:dyDescent="0.3">
      <c r="B2" s="866" t="s">
        <v>1158</v>
      </c>
      <c r="D2" s="416"/>
      <c r="E2" s="416"/>
      <c r="F2" s="416"/>
      <c r="G2" s="416"/>
      <c r="H2" s="416"/>
      <c r="I2" s="416"/>
      <c r="J2" s="416"/>
      <c r="K2" s="416"/>
      <c r="L2" s="416"/>
      <c r="M2" s="416"/>
      <c r="N2" s="416"/>
      <c r="O2" s="416"/>
      <c r="P2" s="416"/>
      <c r="Q2" s="416"/>
      <c r="R2" s="416"/>
    </row>
    <row r="3" spans="2:25" ht="14.25" customHeight="1" x14ac:dyDescent="0.25">
      <c r="C3" s="378"/>
      <c r="D3" s="378"/>
      <c r="E3" s="378"/>
      <c r="F3" s="378"/>
      <c r="G3" s="378"/>
      <c r="H3" s="378"/>
      <c r="I3" s="379"/>
      <c r="J3" s="378"/>
    </row>
    <row r="4" spans="2:25" x14ac:dyDescent="0.25">
      <c r="E4" s="378"/>
      <c r="F4" s="378"/>
      <c r="G4" s="378"/>
      <c r="H4" s="378"/>
      <c r="I4" s="379"/>
    </row>
    <row r="5" spans="2:25" x14ac:dyDescent="0.25">
      <c r="B5" s="438"/>
      <c r="C5" s="438"/>
      <c r="D5" s="814" t="s">
        <v>103</v>
      </c>
      <c r="E5" s="814" t="s">
        <v>102</v>
      </c>
      <c r="F5" s="814" t="s">
        <v>97</v>
      </c>
      <c r="G5" s="814" t="s">
        <v>96</v>
      </c>
      <c r="H5" s="814" t="s">
        <v>95</v>
      </c>
      <c r="I5" s="814" t="s">
        <v>111</v>
      </c>
      <c r="J5" s="814" t="s">
        <v>1159</v>
      </c>
      <c r="K5" s="814" t="s">
        <v>1160</v>
      </c>
    </row>
    <row r="6" spans="2:25" ht="196.5" customHeight="1" x14ac:dyDescent="0.25">
      <c r="B6" s="438"/>
      <c r="C6" s="467" t="s">
        <v>1161</v>
      </c>
      <c r="D6" s="848" t="s">
        <v>1162</v>
      </c>
      <c r="E6" s="848" t="s">
        <v>1163</v>
      </c>
      <c r="F6" s="848" t="s">
        <v>1164</v>
      </c>
      <c r="G6" s="848" t="s">
        <v>1165</v>
      </c>
      <c r="H6" s="848" t="s">
        <v>1166</v>
      </c>
      <c r="I6" s="848" t="s">
        <v>1167</v>
      </c>
      <c r="J6" s="848" t="s">
        <v>1168</v>
      </c>
      <c r="K6" s="848" t="s">
        <v>1169</v>
      </c>
      <c r="M6" s="380"/>
      <c r="N6" s="381"/>
      <c r="O6" s="381"/>
      <c r="P6" s="381"/>
      <c r="Q6" s="381"/>
      <c r="R6" s="381"/>
      <c r="S6" s="381"/>
      <c r="T6" s="381"/>
      <c r="U6" s="381"/>
      <c r="V6" s="381"/>
      <c r="W6" s="381"/>
      <c r="X6" s="381"/>
      <c r="Y6" s="381"/>
    </row>
    <row r="7" spans="2:25" ht="30" x14ac:dyDescent="0.25">
      <c r="B7" s="305">
        <v>1</v>
      </c>
      <c r="C7" s="812" t="s">
        <v>1118</v>
      </c>
      <c r="D7" s="847">
        <v>0</v>
      </c>
      <c r="E7" s="847">
        <v>0</v>
      </c>
      <c r="F7" s="847">
        <v>0</v>
      </c>
      <c r="G7" s="847">
        <v>0</v>
      </c>
      <c r="H7" s="847">
        <v>0</v>
      </c>
      <c r="I7" s="847">
        <v>0</v>
      </c>
      <c r="J7" s="847">
        <v>0</v>
      </c>
      <c r="K7" s="847">
        <v>0</v>
      </c>
    </row>
    <row r="8" spans="2:25" x14ac:dyDescent="0.25">
      <c r="B8" s="305">
        <v>2</v>
      </c>
      <c r="C8" s="375" t="s">
        <v>1170</v>
      </c>
      <c r="D8" s="374">
        <v>0</v>
      </c>
      <c r="E8" s="374">
        <v>0</v>
      </c>
      <c r="F8" s="374">
        <v>0</v>
      </c>
      <c r="G8" s="374">
        <v>0</v>
      </c>
      <c r="H8" s="374">
        <v>0</v>
      </c>
      <c r="I8" s="374">
        <v>0</v>
      </c>
      <c r="J8" s="374">
        <v>0</v>
      </c>
      <c r="K8" s="374">
        <v>0</v>
      </c>
    </row>
    <row r="9" spans="2:25" ht="45" x14ac:dyDescent="0.25">
      <c r="B9" s="305">
        <v>3</v>
      </c>
      <c r="C9" s="375" t="s">
        <v>1171</v>
      </c>
      <c r="D9" s="374">
        <v>0</v>
      </c>
      <c r="E9" s="374">
        <v>0</v>
      </c>
      <c r="F9" s="374">
        <v>0</v>
      </c>
      <c r="G9" s="374">
        <v>0</v>
      </c>
      <c r="H9" s="374">
        <v>0</v>
      </c>
      <c r="I9" s="374">
        <v>0</v>
      </c>
      <c r="J9" s="374">
        <v>0</v>
      </c>
      <c r="K9" s="374">
        <v>0</v>
      </c>
    </row>
    <row r="10" spans="2:25" ht="45" x14ac:dyDescent="0.25">
      <c r="B10" s="305">
        <v>4</v>
      </c>
      <c r="C10" s="375" t="s">
        <v>1172</v>
      </c>
      <c r="D10" s="374">
        <v>0</v>
      </c>
      <c r="E10" s="374">
        <v>0</v>
      </c>
      <c r="F10" s="374">
        <v>0</v>
      </c>
      <c r="G10" s="374">
        <v>0</v>
      </c>
      <c r="H10" s="374">
        <v>0</v>
      </c>
      <c r="I10" s="374">
        <v>0</v>
      </c>
      <c r="J10" s="374">
        <v>0</v>
      </c>
      <c r="K10" s="374">
        <v>0</v>
      </c>
    </row>
    <row r="11" spans="2:25" x14ac:dyDescent="0.25">
      <c r="B11" s="305">
        <v>5</v>
      </c>
      <c r="C11" s="375" t="s">
        <v>1173</v>
      </c>
      <c r="D11" s="374">
        <v>0</v>
      </c>
      <c r="E11" s="374">
        <v>0</v>
      </c>
      <c r="F11" s="374">
        <v>0</v>
      </c>
      <c r="G11" s="374">
        <v>0</v>
      </c>
      <c r="H11" s="374">
        <v>0</v>
      </c>
      <c r="I11" s="374">
        <v>0</v>
      </c>
      <c r="J11" s="374">
        <v>0</v>
      </c>
      <c r="K11" s="374">
        <v>0</v>
      </c>
    </row>
    <row r="12" spans="2:25" x14ac:dyDescent="0.25">
      <c r="B12" s="305">
        <v>6</v>
      </c>
      <c r="C12" s="375" t="s">
        <v>1174</v>
      </c>
      <c r="D12" s="374">
        <v>0</v>
      </c>
      <c r="E12" s="374">
        <v>0</v>
      </c>
      <c r="F12" s="374">
        <v>0</v>
      </c>
      <c r="G12" s="374">
        <v>0</v>
      </c>
      <c r="H12" s="374">
        <v>0</v>
      </c>
      <c r="I12" s="374">
        <v>0</v>
      </c>
      <c r="J12" s="374">
        <v>0</v>
      </c>
      <c r="K12" s="374">
        <v>0</v>
      </c>
    </row>
    <row r="13" spans="2:25" ht="30" x14ac:dyDescent="0.25">
      <c r="B13" s="178">
        <v>7</v>
      </c>
      <c r="C13" s="244" t="s">
        <v>1175</v>
      </c>
      <c r="D13" s="374">
        <v>0</v>
      </c>
      <c r="E13" s="374">
        <v>0</v>
      </c>
      <c r="F13" s="374">
        <v>0</v>
      </c>
      <c r="G13" s="374">
        <v>0</v>
      </c>
      <c r="H13" s="374">
        <v>0</v>
      </c>
      <c r="I13" s="374">
        <v>0</v>
      </c>
      <c r="J13" s="374">
        <v>0</v>
      </c>
      <c r="K13" s="374">
        <v>0</v>
      </c>
    </row>
    <row r="14" spans="2:25" x14ac:dyDescent="0.25">
      <c r="B14" s="178">
        <v>8</v>
      </c>
      <c r="C14" s="375" t="s">
        <v>1170</v>
      </c>
      <c r="D14" s="374">
        <v>0</v>
      </c>
      <c r="E14" s="374">
        <v>0</v>
      </c>
      <c r="F14" s="374">
        <v>0</v>
      </c>
      <c r="G14" s="374">
        <v>0</v>
      </c>
      <c r="H14" s="374">
        <v>0</v>
      </c>
      <c r="I14" s="374">
        <v>0</v>
      </c>
      <c r="J14" s="374">
        <v>0</v>
      </c>
      <c r="K14" s="374">
        <v>0</v>
      </c>
    </row>
    <row r="15" spans="2:25" ht="45" x14ac:dyDescent="0.25">
      <c r="B15" s="178">
        <v>9</v>
      </c>
      <c r="C15" s="375" t="s">
        <v>1171</v>
      </c>
      <c r="D15" s="374">
        <v>0</v>
      </c>
      <c r="E15" s="374">
        <v>0</v>
      </c>
      <c r="F15" s="374">
        <v>0</v>
      </c>
      <c r="G15" s="374">
        <v>0</v>
      </c>
      <c r="H15" s="374">
        <v>0</v>
      </c>
      <c r="I15" s="374">
        <v>0</v>
      </c>
      <c r="J15" s="374">
        <v>0</v>
      </c>
      <c r="K15" s="374">
        <v>0</v>
      </c>
    </row>
    <row r="16" spans="2:25" ht="45" x14ac:dyDescent="0.25">
      <c r="B16" s="178">
        <v>10</v>
      </c>
      <c r="C16" s="375" t="s">
        <v>1172</v>
      </c>
      <c r="D16" s="374">
        <v>0</v>
      </c>
      <c r="E16" s="374">
        <v>0</v>
      </c>
      <c r="F16" s="374">
        <v>0</v>
      </c>
      <c r="G16" s="374">
        <v>0</v>
      </c>
      <c r="H16" s="374">
        <v>0</v>
      </c>
      <c r="I16" s="374">
        <v>0</v>
      </c>
      <c r="J16" s="374">
        <v>0</v>
      </c>
      <c r="K16" s="374">
        <v>0</v>
      </c>
    </row>
    <row r="17" spans="2:25" x14ac:dyDescent="0.25">
      <c r="B17" s="178">
        <v>11</v>
      </c>
      <c r="C17" s="375" t="s">
        <v>1173</v>
      </c>
      <c r="D17" s="374">
        <v>0</v>
      </c>
      <c r="E17" s="374">
        <v>0</v>
      </c>
      <c r="F17" s="374">
        <v>0</v>
      </c>
      <c r="G17" s="374">
        <v>0</v>
      </c>
      <c r="H17" s="374">
        <v>0</v>
      </c>
      <c r="I17" s="374">
        <v>0</v>
      </c>
      <c r="J17" s="374">
        <v>0</v>
      </c>
      <c r="K17" s="374">
        <v>0</v>
      </c>
    </row>
    <row r="18" spans="2:25" x14ac:dyDescent="0.25">
      <c r="B18" s="178">
        <v>12</v>
      </c>
      <c r="C18" s="375" t="s">
        <v>1174</v>
      </c>
      <c r="D18" s="374">
        <v>0</v>
      </c>
      <c r="E18" s="374">
        <v>0</v>
      </c>
      <c r="F18" s="374">
        <v>0</v>
      </c>
      <c r="G18" s="374">
        <v>0</v>
      </c>
      <c r="H18" s="374">
        <v>0</v>
      </c>
      <c r="I18" s="374">
        <v>0</v>
      </c>
      <c r="J18" s="374">
        <v>0</v>
      </c>
      <c r="K18" s="374">
        <v>0</v>
      </c>
    </row>
    <row r="19" spans="2:25" x14ac:dyDescent="0.25">
      <c r="B19" s="178">
        <v>13</v>
      </c>
      <c r="C19" s="1" t="s">
        <v>1120</v>
      </c>
      <c r="D19" s="374">
        <v>0</v>
      </c>
      <c r="E19" s="374">
        <v>0</v>
      </c>
      <c r="F19" s="374">
        <v>0</v>
      </c>
      <c r="G19" s="374">
        <v>0</v>
      </c>
      <c r="H19" s="374">
        <v>0</v>
      </c>
      <c r="I19" s="374">
        <v>0</v>
      </c>
      <c r="J19" s="374">
        <v>0</v>
      </c>
      <c r="K19" s="374">
        <v>0</v>
      </c>
    </row>
    <row r="20" spans="2:25" x14ac:dyDescent="0.25">
      <c r="B20" s="178">
        <v>14</v>
      </c>
      <c r="C20" s="375" t="s">
        <v>1170</v>
      </c>
      <c r="D20" s="374">
        <v>0</v>
      </c>
      <c r="E20" s="374">
        <v>0</v>
      </c>
      <c r="F20" s="374">
        <v>0</v>
      </c>
      <c r="G20" s="374">
        <v>0</v>
      </c>
      <c r="H20" s="374">
        <v>0</v>
      </c>
      <c r="I20" s="374">
        <v>0</v>
      </c>
      <c r="J20" s="374">
        <v>0</v>
      </c>
      <c r="K20" s="374">
        <v>0</v>
      </c>
    </row>
    <row r="21" spans="2:25" ht="45" x14ac:dyDescent="0.25">
      <c r="B21" s="178">
        <v>15</v>
      </c>
      <c r="C21" s="375" t="s">
        <v>1171</v>
      </c>
      <c r="D21" s="374">
        <v>0</v>
      </c>
      <c r="E21" s="374">
        <v>0</v>
      </c>
      <c r="F21" s="374">
        <v>0</v>
      </c>
      <c r="G21" s="374">
        <v>0</v>
      </c>
      <c r="H21" s="374">
        <v>0</v>
      </c>
      <c r="I21" s="374">
        <v>0</v>
      </c>
      <c r="J21" s="374">
        <v>0</v>
      </c>
      <c r="K21" s="374">
        <v>0</v>
      </c>
    </row>
    <row r="22" spans="2:25" ht="45" x14ac:dyDescent="0.25">
      <c r="B22" s="178">
        <v>16</v>
      </c>
      <c r="C22" s="375" t="s">
        <v>1172</v>
      </c>
      <c r="D22" s="374">
        <v>0</v>
      </c>
      <c r="E22" s="374">
        <v>0</v>
      </c>
      <c r="F22" s="374">
        <v>0</v>
      </c>
      <c r="G22" s="374">
        <v>0</v>
      </c>
      <c r="H22" s="374">
        <v>0</v>
      </c>
      <c r="I22" s="374">
        <v>0</v>
      </c>
      <c r="J22" s="374">
        <v>0</v>
      </c>
      <c r="K22" s="374">
        <v>0</v>
      </c>
    </row>
    <row r="23" spans="2:25" x14ac:dyDescent="0.25">
      <c r="B23" s="178">
        <v>17</v>
      </c>
      <c r="C23" s="375" t="s">
        <v>1173</v>
      </c>
      <c r="D23" s="374">
        <v>0</v>
      </c>
      <c r="E23" s="374">
        <v>0</v>
      </c>
      <c r="F23" s="374">
        <v>0</v>
      </c>
      <c r="G23" s="374">
        <v>0</v>
      </c>
      <c r="H23" s="374">
        <v>0</v>
      </c>
      <c r="I23" s="374">
        <v>0</v>
      </c>
      <c r="J23" s="374">
        <v>0</v>
      </c>
      <c r="K23" s="374">
        <v>0</v>
      </c>
    </row>
    <row r="24" spans="2:25" x14ac:dyDescent="0.25">
      <c r="B24" s="178">
        <v>18</v>
      </c>
      <c r="C24" s="375" t="s">
        <v>1174</v>
      </c>
      <c r="D24" s="374">
        <v>0</v>
      </c>
      <c r="E24" s="374">
        <v>0</v>
      </c>
      <c r="F24" s="374">
        <v>0</v>
      </c>
      <c r="G24" s="374">
        <v>0</v>
      </c>
      <c r="H24" s="374">
        <v>0</v>
      </c>
      <c r="I24" s="374">
        <v>0</v>
      </c>
      <c r="J24" s="374">
        <v>0</v>
      </c>
      <c r="K24" s="374">
        <v>0</v>
      </c>
    </row>
    <row r="25" spans="2:25" ht="30" x14ac:dyDescent="0.25">
      <c r="B25" s="178">
        <v>19</v>
      </c>
      <c r="C25" s="345" t="s">
        <v>1121</v>
      </c>
      <c r="D25" s="374">
        <v>0</v>
      </c>
      <c r="E25" s="374">
        <v>0</v>
      </c>
      <c r="F25" s="374">
        <v>0</v>
      </c>
      <c r="G25" s="374">
        <v>0</v>
      </c>
      <c r="H25" s="374">
        <v>0</v>
      </c>
      <c r="I25" s="374">
        <v>0</v>
      </c>
      <c r="J25" s="374">
        <v>0</v>
      </c>
      <c r="K25" s="374">
        <v>0</v>
      </c>
    </row>
    <row r="26" spans="2:25" x14ac:dyDescent="0.25">
      <c r="B26" s="178">
        <v>20</v>
      </c>
      <c r="C26" s="375" t="s">
        <v>1170</v>
      </c>
      <c r="D26" s="374">
        <v>0</v>
      </c>
      <c r="E26" s="374">
        <v>0</v>
      </c>
      <c r="F26" s="374">
        <v>0</v>
      </c>
      <c r="G26" s="374">
        <v>0</v>
      </c>
      <c r="H26" s="374">
        <v>0</v>
      </c>
      <c r="I26" s="374">
        <v>0</v>
      </c>
      <c r="J26" s="374">
        <v>0</v>
      </c>
      <c r="K26" s="374">
        <v>0</v>
      </c>
      <c r="M26" s="381"/>
    </row>
    <row r="27" spans="2:25" ht="45" x14ac:dyDescent="0.25">
      <c r="B27" s="178">
        <v>21</v>
      </c>
      <c r="C27" s="375" t="s">
        <v>1171</v>
      </c>
      <c r="D27" s="374">
        <v>0</v>
      </c>
      <c r="E27" s="374">
        <v>0</v>
      </c>
      <c r="F27" s="374">
        <v>0</v>
      </c>
      <c r="G27" s="374">
        <v>0</v>
      </c>
      <c r="H27" s="374">
        <v>0</v>
      </c>
      <c r="I27" s="374">
        <v>0</v>
      </c>
      <c r="J27" s="374">
        <v>0</v>
      </c>
      <c r="K27" s="374">
        <v>0</v>
      </c>
    </row>
    <row r="28" spans="2:25" ht="45" x14ac:dyDescent="0.25">
      <c r="B28" s="178">
        <v>22</v>
      </c>
      <c r="C28" s="375" t="s">
        <v>1172</v>
      </c>
      <c r="D28" s="374">
        <v>0</v>
      </c>
      <c r="E28" s="374">
        <v>0</v>
      </c>
      <c r="F28" s="374">
        <v>0</v>
      </c>
      <c r="G28" s="374">
        <v>0</v>
      </c>
      <c r="H28" s="374">
        <v>0</v>
      </c>
      <c r="I28" s="374">
        <v>0</v>
      </c>
      <c r="J28" s="374">
        <v>0</v>
      </c>
      <c r="K28" s="374">
        <v>0</v>
      </c>
    </row>
    <row r="29" spans="2:25" x14ac:dyDescent="0.25">
      <c r="B29" s="178">
        <v>23</v>
      </c>
      <c r="C29" s="375" t="s">
        <v>1173</v>
      </c>
      <c r="D29" s="374">
        <v>0</v>
      </c>
      <c r="E29" s="374">
        <v>0</v>
      </c>
      <c r="F29" s="374">
        <v>0</v>
      </c>
      <c r="G29" s="374">
        <v>0</v>
      </c>
      <c r="H29" s="374">
        <v>0</v>
      </c>
      <c r="I29" s="374">
        <v>0</v>
      </c>
      <c r="J29" s="374">
        <v>0</v>
      </c>
      <c r="K29" s="374">
        <v>0</v>
      </c>
    </row>
    <row r="30" spans="2:25" x14ac:dyDescent="0.25">
      <c r="B30" s="178">
        <v>24</v>
      </c>
      <c r="C30" s="375" t="s">
        <v>1174</v>
      </c>
      <c r="D30" s="374">
        <v>0</v>
      </c>
      <c r="E30" s="374">
        <v>0</v>
      </c>
      <c r="F30" s="374">
        <v>0</v>
      </c>
      <c r="G30" s="374">
        <v>0</v>
      </c>
      <c r="H30" s="374">
        <v>0</v>
      </c>
      <c r="I30" s="374">
        <v>0</v>
      </c>
      <c r="J30" s="374">
        <v>0</v>
      </c>
      <c r="K30" s="374">
        <v>0</v>
      </c>
    </row>
    <row r="31" spans="2:25" ht="18.75" x14ac:dyDescent="0.3">
      <c r="B31" s="178">
        <v>25</v>
      </c>
      <c r="C31" s="179" t="s">
        <v>1176</v>
      </c>
      <c r="D31" s="374">
        <v>0</v>
      </c>
      <c r="E31" s="374">
        <v>0</v>
      </c>
      <c r="F31" s="374">
        <v>0</v>
      </c>
      <c r="G31" s="374">
        <v>0</v>
      </c>
      <c r="H31" s="374">
        <v>0</v>
      </c>
      <c r="I31" s="374">
        <v>0</v>
      </c>
      <c r="J31" s="374">
        <v>0</v>
      </c>
      <c r="K31" s="374">
        <v>0</v>
      </c>
      <c r="Y31" s="416"/>
    </row>
  </sheetData>
  <hyperlinks>
    <hyperlink ref="B2" location="Indhold!B65" display="Skema EU REM3 – Udskudt aflønning " xr:uid="{B06BC55D-BCA6-44A0-AA18-8D8D2E7EE926}"/>
  </hyperlinks>
  <pageMargins left="0.70866141732283472" right="0.70866141732283472" top="0.74803149606299213" bottom="0.74803149606299213" header="0.31496062992125984" footer="0.31496062992125984"/>
  <pageSetup paperSize="9" scale="65" fitToHeight="0" orientation="landscape" cellComments="asDisplayed" r:id="rId1"/>
  <headerFooter>
    <oddHeader>&amp;CDA
Bilag XXXIII</oddHeader>
    <oddFooter>&amp;C&amp;P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3CF3A-2A62-4281-9C0F-8785AE845F53}">
  <sheetPr>
    <tabColor rgb="FF0070C0"/>
  </sheetPr>
  <dimension ref="B2:Q22"/>
  <sheetViews>
    <sheetView showGridLines="0" zoomScaleNormal="100" workbookViewId="0">
      <selection activeCell="B2" sqref="B2"/>
    </sheetView>
  </sheetViews>
  <sheetFormatPr defaultColWidth="9.140625" defaultRowHeight="15" x14ac:dyDescent="0.25"/>
  <cols>
    <col min="2" max="2" width="8.7109375" customWidth="1"/>
    <col min="3" max="3" width="42.28515625" customWidth="1"/>
    <col min="4" max="4" width="48.140625" customWidth="1"/>
    <col min="8" max="8" width="42.28515625" customWidth="1"/>
    <col min="9" max="9" width="48.140625" customWidth="1"/>
  </cols>
  <sheetData>
    <row r="2" spans="2:17" ht="18.75" x14ac:dyDescent="0.3">
      <c r="B2" s="866" t="s">
        <v>1177</v>
      </c>
      <c r="C2" s="416"/>
      <c r="D2" s="416"/>
      <c r="E2" s="416"/>
      <c r="F2" s="416"/>
      <c r="G2" s="416"/>
      <c r="H2" s="416"/>
      <c r="I2" s="416"/>
      <c r="J2" s="416"/>
      <c r="K2" s="416"/>
      <c r="L2" s="416"/>
      <c r="M2" s="416"/>
      <c r="N2" s="416"/>
      <c r="O2" s="416"/>
      <c r="P2" s="416"/>
      <c r="Q2" s="416"/>
    </row>
    <row r="3" spans="2:17" ht="15" customHeight="1" x14ac:dyDescent="0.3">
      <c r="B3" s="416"/>
      <c r="C3" s="416"/>
      <c r="D3" s="416"/>
      <c r="E3" s="416"/>
      <c r="F3" s="416"/>
      <c r="G3" s="416"/>
      <c r="H3" s="416"/>
      <c r="I3" s="416"/>
      <c r="J3" s="416"/>
      <c r="K3" s="416"/>
      <c r="L3" s="416"/>
      <c r="M3" s="416"/>
      <c r="N3" s="416"/>
      <c r="O3" s="416"/>
      <c r="P3" s="416"/>
      <c r="Q3" s="416"/>
    </row>
    <row r="4" spans="2:17" ht="15" customHeight="1" x14ac:dyDescent="0.3">
      <c r="B4" s="416"/>
      <c r="C4" s="416"/>
      <c r="D4" s="416"/>
      <c r="E4" s="416"/>
      <c r="F4" s="416"/>
      <c r="G4" s="416"/>
      <c r="H4" s="416"/>
      <c r="I4" s="416"/>
      <c r="J4" s="416"/>
      <c r="K4" s="416"/>
      <c r="L4" s="416"/>
      <c r="M4" s="416"/>
      <c r="N4" s="416"/>
      <c r="O4" s="416"/>
      <c r="P4" s="416"/>
      <c r="Q4" s="416"/>
    </row>
    <row r="5" spans="2:17" ht="18" customHeight="1" x14ac:dyDescent="0.25">
      <c r="B5" s="505"/>
      <c r="C5" s="505"/>
      <c r="D5" s="835" t="s">
        <v>103</v>
      </c>
    </row>
    <row r="6" spans="2:17" ht="30" x14ac:dyDescent="0.25">
      <c r="B6" s="505"/>
      <c r="C6" s="813" t="s">
        <v>1178</v>
      </c>
      <c r="D6" s="851" t="s">
        <v>1179</v>
      </c>
    </row>
    <row r="7" spans="2:17" x14ac:dyDescent="0.25">
      <c r="B7" s="178">
        <v>1</v>
      </c>
      <c r="C7" s="849" t="s">
        <v>1180</v>
      </c>
      <c r="D7" s="850">
        <v>0</v>
      </c>
    </row>
    <row r="8" spans="2:17" x14ac:dyDescent="0.25">
      <c r="B8" s="178">
        <v>2</v>
      </c>
      <c r="C8" s="382" t="s">
        <v>1181</v>
      </c>
      <c r="D8" s="383">
        <v>0</v>
      </c>
    </row>
    <row r="9" spans="2:17" x14ac:dyDescent="0.25">
      <c r="B9" s="178">
        <v>3</v>
      </c>
      <c r="C9" s="382" t="s">
        <v>1182</v>
      </c>
      <c r="D9" s="383">
        <v>0</v>
      </c>
    </row>
    <row r="10" spans="2:17" x14ac:dyDescent="0.25">
      <c r="B10" s="178">
        <v>4</v>
      </c>
      <c r="C10" s="382" t="s">
        <v>1183</v>
      </c>
      <c r="D10" s="383">
        <v>0</v>
      </c>
    </row>
    <row r="11" spans="2:17" x14ac:dyDescent="0.25">
      <c r="B11" s="178">
        <v>5</v>
      </c>
      <c r="C11" s="382" t="s">
        <v>1184</v>
      </c>
      <c r="D11" s="383">
        <v>0</v>
      </c>
    </row>
    <row r="12" spans="2:17" x14ac:dyDescent="0.25">
      <c r="B12" s="178">
        <v>6</v>
      </c>
      <c r="C12" s="382" t="s">
        <v>1185</v>
      </c>
      <c r="D12" s="383">
        <v>0</v>
      </c>
    </row>
    <row r="13" spans="2:17" x14ac:dyDescent="0.25">
      <c r="B13" s="178">
        <v>7</v>
      </c>
      <c r="C13" s="382" t="s">
        <v>1186</v>
      </c>
      <c r="D13" s="383">
        <v>0</v>
      </c>
    </row>
    <row r="14" spans="2:17" x14ac:dyDescent="0.25">
      <c r="B14" s="178">
        <v>8</v>
      </c>
      <c r="C14" s="382" t="s">
        <v>1187</v>
      </c>
      <c r="D14" s="383">
        <v>0</v>
      </c>
    </row>
    <row r="15" spans="2:17" x14ac:dyDescent="0.25">
      <c r="B15" s="178">
        <v>9</v>
      </c>
      <c r="C15" s="382" t="s">
        <v>1188</v>
      </c>
      <c r="D15" s="383">
        <v>0</v>
      </c>
    </row>
    <row r="16" spans="2:17" x14ac:dyDescent="0.25">
      <c r="B16" s="178">
        <v>10</v>
      </c>
      <c r="C16" s="382" t="s">
        <v>1189</v>
      </c>
      <c r="D16" s="383">
        <v>0</v>
      </c>
    </row>
    <row r="17" spans="2:4" x14ac:dyDescent="0.25">
      <c r="B17" s="178">
        <v>11</v>
      </c>
      <c r="C17" s="382" t="s">
        <v>1190</v>
      </c>
      <c r="D17" s="383">
        <v>0</v>
      </c>
    </row>
    <row r="18" spans="2:4" ht="30" x14ac:dyDescent="0.25">
      <c r="B18" s="44" t="s">
        <v>931</v>
      </c>
      <c r="C18" s="345" t="s">
        <v>1191</v>
      </c>
      <c r="D18" s="383"/>
    </row>
    <row r="22" spans="2:4" x14ac:dyDescent="0.25">
      <c r="D22" s="32"/>
    </row>
  </sheetData>
  <hyperlinks>
    <hyperlink ref="B2" location="Indhold!B66" display="Skema EU REM4 – Aflønning på 1 mio. EUR eller derover pr. regnskabsår" xr:uid="{62E22777-A5DB-4D8D-A72A-0954AEFE7FC6}"/>
  </hyperlinks>
  <pageMargins left="0.70866141732283472" right="0.70866141732283472" top="0.74803149606299213" bottom="0.74803149606299213" header="0.31496062992125984" footer="0.31496062992125984"/>
  <pageSetup paperSize="9" orientation="landscape" r:id="rId1"/>
  <headerFooter>
    <oddHeader>&amp;CDA 
Bilag XXXIII</oddHeader>
    <oddFooter>&amp;C&amp;P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5EDDB-862F-4D0B-A149-B0A7C2E1E8BF}">
  <sheetPr>
    <tabColor rgb="FF0070C0"/>
  </sheetPr>
  <dimension ref="B2:AJ23"/>
  <sheetViews>
    <sheetView showGridLines="0" zoomScaleNormal="100" workbookViewId="0">
      <selection activeCell="B2" sqref="B2"/>
    </sheetView>
  </sheetViews>
  <sheetFormatPr defaultColWidth="8.85546875" defaultRowHeight="12.75" x14ac:dyDescent="0.25"/>
  <cols>
    <col min="1" max="1" width="8.85546875" style="386"/>
    <col min="2" max="2" width="5.7109375" style="386" customWidth="1"/>
    <col min="3" max="3" width="72" style="386" customWidth="1"/>
    <col min="4" max="8" width="17.7109375" style="386" customWidth="1"/>
    <col min="9" max="9" width="19.42578125" style="386" customWidth="1"/>
    <col min="10" max="11" width="17.7109375" style="386" customWidth="1"/>
    <col min="12" max="12" width="13.7109375" style="386" customWidth="1"/>
    <col min="13" max="16384" width="8.85546875" style="386"/>
  </cols>
  <sheetData>
    <row r="2" spans="2:36" ht="18.75" x14ac:dyDescent="0.3">
      <c r="B2" s="866" t="s">
        <v>1221</v>
      </c>
      <c r="D2" s="416"/>
      <c r="E2" s="416"/>
      <c r="F2" s="416"/>
      <c r="G2" s="416"/>
      <c r="H2" s="416"/>
      <c r="I2" s="416"/>
      <c r="J2" s="416"/>
      <c r="K2" s="416"/>
      <c r="L2" s="416"/>
      <c r="M2" s="416"/>
      <c r="N2" s="416"/>
      <c r="O2" s="416"/>
      <c r="P2" s="416"/>
      <c r="Q2" s="416"/>
      <c r="R2" s="416"/>
    </row>
    <row r="3" spans="2:36" ht="15" customHeight="1" x14ac:dyDescent="0.25">
      <c r="B3" s="395"/>
      <c r="C3" s="397"/>
      <c r="D3" s="396"/>
      <c r="E3" s="396"/>
      <c r="F3" s="396"/>
      <c r="G3" s="396"/>
    </row>
    <row r="4" spans="2:36" s="388" customFormat="1" ht="15" customHeight="1" x14ac:dyDescent="0.25">
      <c r="D4" s="389"/>
      <c r="E4" s="389"/>
      <c r="F4" s="389"/>
      <c r="G4" s="389"/>
      <c r="H4" s="386"/>
      <c r="I4" s="386"/>
      <c r="J4" s="386"/>
      <c r="K4" s="386"/>
      <c r="L4" s="386"/>
      <c r="M4" s="386"/>
      <c r="N4" s="386"/>
      <c r="O4" s="386"/>
      <c r="P4" s="386"/>
      <c r="Q4" s="386"/>
      <c r="R4" s="386"/>
      <c r="S4" s="386"/>
      <c r="T4" s="386"/>
      <c r="U4" s="386"/>
      <c r="V4" s="386"/>
      <c r="W4" s="386"/>
      <c r="X4" s="386"/>
      <c r="Y4" s="386"/>
      <c r="Z4" s="386"/>
      <c r="AA4" s="386"/>
      <c r="AB4" s="386"/>
      <c r="AC4" s="386"/>
      <c r="AD4" s="386"/>
      <c r="AE4" s="386"/>
      <c r="AF4" s="386"/>
      <c r="AG4" s="386"/>
      <c r="AH4" s="386"/>
      <c r="AI4" s="386"/>
      <c r="AJ4" s="386"/>
    </row>
    <row r="5" spans="2:36" ht="15" x14ac:dyDescent="0.25">
      <c r="B5" s="853"/>
      <c r="C5" s="854"/>
      <c r="D5" s="1203" t="s">
        <v>1222</v>
      </c>
      <c r="E5" s="1204"/>
      <c r="F5" s="1207" t="s">
        <v>1223</v>
      </c>
      <c r="G5" s="1056"/>
    </row>
    <row r="6" spans="2:36" ht="15" x14ac:dyDescent="0.25">
      <c r="B6" s="853"/>
      <c r="C6" s="854"/>
      <c r="D6" s="1205"/>
      <c r="E6" s="1206"/>
      <c r="F6" s="1208" t="s">
        <v>1224</v>
      </c>
      <c r="G6" s="1206"/>
    </row>
    <row r="7" spans="2:36" ht="90" x14ac:dyDescent="0.25">
      <c r="B7" s="855"/>
      <c r="C7" s="856"/>
      <c r="D7" s="857"/>
      <c r="E7" s="858" t="s">
        <v>1212</v>
      </c>
      <c r="F7" s="859"/>
      <c r="G7" s="858" t="s">
        <v>1213</v>
      </c>
    </row>
    <row r="8" spans="2:36" ht="15" x14ac:dyDescent="0.25">
      <c r="B8" s="390"/>
      <c r="C8" s="398"/>
      <c r="D8" s="852" t="s">
        <v>343</v>
      </c>
      <c r="E8" s="852" t="s">
        <v>585</v>
      </c>
      <c r="F8" s="852" t="s">
        <v>587</v>
      </c>
      <c r="G8" s="852" t="s">
        <v>591</v>
      </c>
    </row>
    <row r="9" spans="2:36" ht="15" x14ac:dyDescent="0.25">
      <c r="B9" s="392" t="s">
        <v>602</v>
      </c>
      <c r="C9" s="399" t="s">
        <v>1225</v>
      </c>
      <c r="D9" s="393">
        <v>0</v>
      </c>
      <c r="E9" s="393">
        <v>0</v>
      </c>
      <c r="F9" s="393">
        <v>0</v>
      </c>
      <c r="G9" s="393">
        <v>0</v>
      </c>
    </row>
    <row r="10" spans="2:36" ht="15" x14ac:dyDescent="0.25">
      <c r="B10" s="391" t="s">
        <v>603</v>
      </c>
      <c r="C10" s="400" t="s">
        <v>1226</v>
      </c>
      <c r="D10" s="393">
        <v>0</v>
      </c>
      <c r="E10" s="393">
        <v>0</v>
      </c>
      <c r="F10" s="393">
        <v>0</v>
      </c>
      <c r="G10" s="393">
        <v>0</v>
      </c>
    </row>
    <row r="11" spans="2:36" ht="15" x14ac:dyDescent="0.25">
      <c r="B11" s="391" t="s">
        <v>604</v>
      </c>
      <c r="C11" s="400" t="s">
        <v>949</v>
      </c>
      <c r="D11" s="393">
        <v>0</v>
      </c>
      <c r="E11" s="393">
        <v>0</v>
      </c>
      <c r="F11" s="393">
        <v>0</v>
      </c>
      <c r="G11" s="393">
        <v>0</v>
      </c>
    </row>
    <row r="12" spans="2:36" ht="15" x14ac:dyDescent="0.25">
      <c r="B12" s="391" t="s">
        <v>605</v>
      </c>
      <c r="C12" s="400" t="s">
        <v>598</v>
      </c>
      <c r="D12" s="393">
        <v>0</v>
      </c>
      <c r="E12" s="393">
        <v>0</v>
      </c>
      <c r="F12" s="393">
        <v>0</v>
      </c>
      <c r="G12" s="393">
        <v>0</v>
      </c>
    </row>
    <row r="13" spans="2:36" ht="30" x14ac:dyDescent="0.25">
      <c r="B13" s="391" t="s">
        <v>606</v>
      </c>
      <c r="C13" s="401" t="s">
        <v>1215</v>
      </c>
      <c r="D13" s="393">
        <v>0</v>
      </c>
      <c r="E13" s="393">
        <v>0</v>
      </c>
      <c r="F13" s="393">
        <v>0</v>
      </c>
      <c r="G13" s="393">
        <v>0</v>
      </c>
    </row>
    <row r="14" spans="2:36" ht="15" x14ac:dyDescent="0.25">
      <c r="B14" s="391" t="s">
        <v>607</v>
      </c>
      <c r="C14" s="402" t="s">
        <v>1216</v>
      </c>
      <c r="D14" s="393">
        <v>0</v>
      </c>
      <c r="E14" s="393">
        <v>0</v>
      </c>
      <c r="F14" s="393">
        <v>0</v>
      </c>
      <c r="G14" s="393">
        <v>0</v>
      </c>
    </row>
    <row r="15" spans="2:36" ht="15" x14ac:dyDescent="0.25">
      <c r="B15" s="391" t="s">
        <v>608</v>
      </c>
      <c r="C15" s="401" t="s">
        <v>1217</v>
      </c>
      <c r="D15" s="393">
        <v>0</v>
      </c>
      <c r="E15" s="393">
        <v>0</v>
      </c>
      <c r="F15" s="393">
        <v>0</v>
      </c>
      <c r="G15" s="393">
        <v>0</v>
      </c>
    </row>
    <row r="16" spans="2:36" ht="15" x14ac:dyDescent="0.25">
      <c r="B16" s="391" t="s">
        <v>609</v>
      </c>
      <c r="C16" s="401" t="s">
        <v>1218</v>
      </c>
      <c r="D16" s="393">
        <v>0</v>
      </c>
      <c r="E16" s="393">
        <v>0</v>
      </c>
      <c r="F16" s="393">
        <v>0</v>
      </c>
      <c r="G16" s="393">
        <v>0</v>
      </c>
    </row>
    <row r="17" spans="2:7" ht="15" x14ac:dyDescent="0.25">
      <c r="B17" s="391" t="s">
        <v>610</v>
      </c>
      <c r="C17" s="401" t="s">
        <v>1219</v>
      </c>
      <c r="D17" s="393">
        <v>0</v>
      </c>
      <c r="E17" s="393">
        <v>0</v>
      </c>
      <c r="F17" s="393">
        <v>0</v>
      </c>
      <c r="G17" s="393">
        <v>0</v>
      </c>
    </row>
    <row r="18" spans="2:7" ht="15" x14ac:dyDescent="0.25">
      <c r="B18" s="391" t="s">
        <v>611</v>
      </c>
      <c r="C18" s="400" t="s">
        <v>1227</v>
      </c>
      <c r="D18" s="393">
        <v>0</v>
      </c>
      <c r="E18" s="393">
        <v>0</v>
      </c>
      <c r="F18" s="393">
        <v>0</v>
      </c>
      <c r="G18" s="393">
        <v>0</v>
      </c>
    </row>
    <row r="19" spans="2:7" ht="15" x14ac:dyDescent="0.25">
      <c r="B19" s="391" t="s">
        <v>1228</v>
      </c>
      <c r="C19" s="400" t="s">
        <v>1229</v>
      </c>
      <c r="D19" s="393">
        <v>0</v>
      </c>
      <c r="E19" s="393">
        <v>0</v>
      </c>
      <c r="F19" s="393">
        <v>0</v>
      </c>
      <c r="G19" s="393">
        <v>0</v>
      </c>
    </row>
    <row r="20" spans="2:7" ht="30" x14ac:dyDescent="0.25">
      <c r="B20" s="392" t="s">
        <v>1230</v>
      </c>
      <c r="C20" s="399" t="s">
        <v>1231</v>
      </c>
      <c r="D20" s="393">
        <v>0</v>
      </c>
      <c r="E20" s="393">
        <v>0</v>
      </c>
      <c r="F20" s="393">
        <v>0</v>
      </c>
      <c r="G20" s="393">
        <v>0</v>
      </c>
    </row>
    <row r="21" spans="2:7" ht="45" x14ac:dyDescent="0.25">
      <c r="B21" s="392">
        <v>241</v>
      </c>
      <c r="C21" s="399" t="s">
        <v>1232</v>
      </c>
      <c r="D21" s="394"/>
      <c r="E21" s="394"/>
      <c r="F21" s="393">
        <v>0</v>
      </c>
      <c r="G21" s="393">
        <v>0</v>
      </c>
    </row>
    <row r="22" spans="2:7" ht="30" x14ac:dyDescent="0.25">
      <c r="B22" s="392">
        <v>250</v>
      </c>
      <c r="C22" s="403" t="s">
        <v>1233</v>
      </c>
      <c r="D22" s="393">
        <v>0</v>
      </c>
      <c r="E22" s="393">
        <v>0</v>
      </c>
      <c r="F22" s="394"/>
      <c r="G22" s="394"/>
    </row>
    <row r="23" spans="2:7" x14ac:dyDescent="0.25">
      <c r="C23" s="404"/>
    </row>
  </sheetData>
  <mergeCells count="3">
    <mergeCell ref="D5:E6"/>
    <mergeCell ref="F5:G5"/>
    <mergeCell ref="F6:G6"/>
  </mergeCells>
  <conditionalFormatting sqref="D19:F22">
    <cfRule type="cellIs" dxfId="4" priority="1" stopIfTrue="1" operator="lessThan">
      <formula>0</formula>
    </cfRule>
  </conditionalFormatting>
  <conditionalFormatting sqref="D3:J3 E5:F6 D5:D18 F7:F18 E8:E18 G8:G22 H9:H22">
    <cfRule type="cellIs" dxfId="3" priority="2" stopIfTrue="1" operator="lessThan">
      <formula>0</formula>
    </cfRule>
  </conditionalFormatting>
  <hyperlinks>
    <hyperlink ref="B2" location="Indhold!B67" display="Skema EU AE2 - Modtaget sikkerhedsstillelse og egne udstedte gældsværdipapirer" xr:uid="{87377063-0971-4E58-8BB9-02B00E460AE7}"/>
  </hyperlinks>
  <pageMargins left="0.70866141732283472" right="0.70866141732283472" top="0.74803149606299213" bottom="0.74803149606299213" header="0.31496062992125984" footer="0.31496062992125984"/>
  <pageSetup paperSize="9" scale="85" orientation="landscape" r:id="rId1"/>
  <headerFooter>
    <oddHeader>&amp;CDA
Bilag XXXV</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4ABFC-4559-48FD-98EA-0CD3035C46AE}">
  <dimension ref="A1:J134"/>
  <sheetViews>
    <sheetView showGridLines="0" topLeftCell="A14" zoomScaleNormal="100" zoomScalePageLayoutView="80" workbookViewId="0">
      <selection activeCell="F1" sqref="F1"/>
    </sheetView>
  </sheetViews>
  <sheetFormatPr defaultRowHeight="15" x14ac:dyDescent="0.25"/>
  <cols>
    <col min="1" max="1" width="4.42578125" customWidth="1"/>
    <col min="2" max="2" width="8.42578125" customWidth="1"/>
    <col min="3" max="3" width="60.140625" customWidth="1"/>
    <col min="4" max="4" width="11.42578125" customWidth="1"/>
    <col min="5" max="5" width="11" customWidth="1"/>
    <col min="6" max="6" width="10.5703125" customWidth="1"/>
    <col min="7" max="7" width="11.5703125" customWidth="1"/>
    <col min="8" max="8" width="10.5703125" customWidth="1"/>
    <col min="13" max="13" width="10" bestFit="1" customWidth="1"/>
  </cols>
  <sheetData>
    <row r="1" spans="1:8" x14ac:dyDescent="0.25">
      <c r="A1" s="15"/>
    </row>
    <row r="2" spans="1:8" ht="18.75" x14ac:dyDescent="0.3">
      <c r="A2" s="15"/>
      <c r="B2" s="416" t="s">
        <v>98</v>
      </c>
    </row>
    <row r="3" spans="1:8" x14ac:dyDescent="0.25">
      <c r="A3" s="15"/>
      <c r="B3" s="32"/>
    </row>
    <row r="4" spans="1:8" x14ac:dyDescent="0.25">
      <c r="A4" s="15"/>
    </row>
    <row r="5" spans="1:8" ht="15" customHeight="1" x14ac:dyDescent="0.25">
      <c r="A5" s="15"/>
      <c r="B5" s="936" t="s">
        <v>1423</v>
      </c>
      <c r="C5" s="936"/>
      <c r="D5" s="768" t="s">
        <v>103</v>
      </c>
      <c r="E5" s="768" t="s">
        <v>102</v>
      </c>
      <c r="F5" s="768" t="s">
        <v>97</v>
      </c>
      <c r="G5" s="818" t="s">
        <v>96</v>
      </c>
      <c r="H5" s="818" t="s">
        <v>95</v>
      </c>
    </row>
    <row r="6" spans="1:8" ht="30" x14ac:dyDescent="0.25">
      <c r="A6" s="15"/>
      <c r="B6" s="937"/>
      <c r="C6" s="937"/>
      <c r="D6" s="818">
        <v>2024</v>
      </c>
      <c r="E6" s="867" t="s">
        <v>1587</v>
      </c>
      <c r="F6" s="908">
        <v>2023</v>
      </c>
      <c r="G6" s="908" t="s">
        <v>1498</v>
      </c>
      <c r="H6" s="908">
        <v>2022</v>
      </c>
    </row>
    <row r="7" spans="1:8" x14ac:dyDescent="0.25">
      <c r="A7" s="15"/>
      <c r="B7" s="30"/>
      <c r="C7" s="941" t="s">
        <v>94</v>
      </c>
      <c r="D7" s="942"/>
      <c r="E7" s="942"/>
      <c r="F7" s="942"/>
      <c r="G7" s="942"/>
      <c r="H7" s="943"/>
    </row>
    <row r="8" spans="1:8" x14ac:dyDescent="0.25">
      <c r="A8" s="15"/>
      <c r="B8" s="16">
        <v>1</v>
      </c>
      <c r="C8" s="28" t="s">
        <v>93</v>
      </c>
      <c r="D8" s="29">
        <f>1237984620/1000</f>
        <v>1237984.6200000001</v>
      </c>
      <c r="E8" s="29">
        <f>1145176114/1000</f>
        <v>1145176.1140000001</v>
      </c>
      <c r="F8" s="29">
        <f>1153155481/1000</f>
        <v>1153155.4809999999</v>
      </c>
      <c r="G8" s="29">
        <f>1039286650/1000</f>
        <v>1039286.65</v>
      </c>
      <c r="H8" s="29">
        <f>1057075648/1000</f>
        <v>1057075.648</v>
      </c>
    </row>
    <row r="9" spans="1:8" x14ac:dyDescent="0.25">
      <c r="A9" s="15"/>
      <c r="B9" s="16">
        <v>2</v>
      </c>
      <c r="C9" s="28" t="s">
        <v>92</v>
      </c>
      <c r="D9" s="29">
        <f t="shared" ref="D9:E10" si="0">+D8</f>
        <v>1237984.6200000001</v>
      </c>
      <c r="E9" s="29">
        <f t="shared" si="0"/>
        <v>1145176.1140000001</v>
      </c>
      <c r="F9" s="29">
        <f t="shared" ref="F9:H9" si="1">+F8</f>
        <v>1153155.4809999999</v>
      </c>
      <c r="G9" s="29">
        <f t="shared" si="1"/>
        <v>1039286.65</v>
      </c>
      <c r="H9" s="29">
        <f t="shared" si="1"/>
        <v>1057075.648</v>
      </c>
    </row>
    <row r="10" spans="1:8" x14ac:dyDescent="0.25">
      <c r="A10" s="15"/>
      <c r="B10" s="16">
        <v>3</v>
      </c>
      <c r="C10" s="28" t="s">
        <v>91</v>
      </c>
      <c r="D10" s="29">
        <f t="shared" si="0"/>
        <v>1237984.6200000001</v>
      </c>
      <c r="E10" s="29">
        <f t="shared" si="0"/>
        <v>1145176.1140000001</v>
      </c>
      <c r="F10" s="29">
        <f t="shared" ref="F10:H10" si="2">+F9</f>
        <v>1153155.4809999999</v>
      </c>
      <c r="G10" s="29">
        <f t="shared" si="2"/>
        <v>1039286.65</v>
      </c>
      <c r="H10" s="29">
        <f t="shared" si="2"/>
        <v>1057075.648</v>
      </c>
    </row>
    <row r="11" spans="1:8" x14ac:dyDescent="0.25">
      <c r="A11" s="15"/>
      <c r="B11" s="21"/>
      <c r="C11" s="938" t="s">
        <v>90</v>
      </c>
      <c r="D11" s="939"/>
      <c r="E11" s="939"/>
      <c r="F11" s="939"/>
      <c r="G11" s="939"/>
      <c r="H11" s="940"/>
    </row>
    <row r="12" spans="1:8" x14ac:dyDescent="0.25">
      <c r="A12" s="15"/>
      <c r="B12" s="16">
        <v>4</v>
      </c>
      <c r="C12" s="28" t="s">
        <v>89</v>
      </c>
      <c r="D12" s="29">
        <f>5136453489/1000</f>
        <v>5136453.4890000001</v>
      </c>
      <c r="E12" s="29">
        <f>4652103572/1000</f>
        <v>4652103.5719999997</v>
      </c>
      <c r="F12" s="29">
        <f>4488625633/1000</f>
        <v>4488625.6330000004</v>
      </c>
      <c r="G12" s="29">
        <f>4259732006/1000</f>
        <v>4259732.0060000001</v>
      </c>
      <c r="H12" s="29">
        <f>4101602602/1000</f>
        <v>4101602.602</v>
      </c>
    </row>
    <row r="13" spans="1:8" ht="15" customHeight="1" x14ac:dyDescent="0.25">
      <c r="A13" s="15"/>
      <c r="B13" s="21"/>
      <c r="C13" s="944" t="s">
        <v>88</v>
      </c>
      <c r="D13" s="945"/>
      <c r="E13" s="945"/>
      <c r="F13" s="945"/>
      <c r="G13" s="945"/>
      <c r="H13" s="946"/>
    </row>
    <row r="14" spans="1:8" x14ac:dyDescent="0.25">
      <c r="A14" s="15"/>
      <c r="B14" s="16">
        <v>5</v>
      </c>
      <c r="C14" s="28" t="s">
        <v>87</v>
      </c>
      <c r="D14" s="22">
        <f>+D10/D12*100</f>
        <v>24.101933808048937</v>
      </c>
      <c r="E14" s="22">
        <f>+E10/E12*100</f>
        <v>24.61630736023519</v>
      </c>
      <c r="F14" s="22">
        <f>+F10/F12*100</f>
        <v>25.690613904668218</v>
      </c>
      <c r="G14" s="22">
        <f>+G10/G12*100</f>
        <v>24.397935093947787</v>
      </c>
      <c r="H14" s="22">
        <f>+H10/H12*100</f>
        <v>25.772259055144808</v>
      </c>
    </row>
    <row r="15" spans="1:8" x14ac:dyDescent="0.25">
      <c r="A15" s="15"/>
      <c r="B15" s="16">
        <v>6</v>
      </c>
      <c r="C15" s="28" t="s">
        <v>86</v>
      </c>
      <c r="D15" s="22">
        <f t="shared" ref="D15:E16" si="3">+D14</f>
        <v>24.101933808048937</v>
      </c>
      <c r="E15" s="22">
        <f t="shared" si="3"/>
        <v>24.61630736023519</v>
      </c>
      <c r="F15" s="22">
        <f t="shared" ref="F15:H15" si="4">+F14</f>
        <v>25.690613904668218</v>
      </c>
      <c r="G15" s="22">
        <f t="shared" si="4"/>
        <v>24.397935093947787</v>
      </c>
      <c r="H15" s="22">
        <f t="shared" si="4"/>
        <v>25.772259055144808</v>
      </c>
    </row>
    <row r="16" spans="1:8" x14ac:dyDescent="0.25">
      <c r="A16" s="15"/>
      <c r="B16" s="16">
        <v>7</v>
      </c>
      <c r="C16" s="28" t="s">
        <v>85</v>
      </c>
      <c r="D16" s="22">
        <f t="shared" si="3"/>
        <v>24.101933808048937</v>
      </c>
      <c r="E16" s="22">
        <f t="shared" si="3"/>
        <v>24.61630736023519</v>
      </c>
      <c r="F16" s="22">
        <f t="shared" ref="F16:H16" si="5">+F15</f>
        <v>25.690613904668218</v>
      </c>
      <c r="G16" s="22">
        <f t="shared" si="5"/>
        <v>24.397935093947787</v>
      </c>
      <c r="H16" s="22">
        <f t="shared" si="5"/>
        <v>25.772259055144808</v>
      </c>
    </row>
    <row r="17" spans="1:8" ht="29.1" customHeight="1" x14ac:dyDescent="0.25">
      <c r="A17" s="15"/>
      <c r="B17" s="21"/>
      <c r="C17" s="947" t="s">
        <v>84</v>
      </c>
      <c r="D17" s="948"/>
      <c r="E17" s="948"/>
      <c r="F17" s="948"/>
      <c r="G17" s="948"/>
      <c r="H17" s="949"/>
    </row>
    <row r="18" spans="1:8" ht="30" x14ac:dyDescent="0.25">
      <c r="A18" s="15"/>
      <c r="B18" s="16" t="s">
        <v>83</v>
      </c>
      <c r="C18" s="9" t="s">
        <v>82</v>
      </c>
      <c r="D18" s="22">
        <v>0.98</v>
      </c>
      <c r="E18" s="22">
        <v>0.96</v>
      </c>
      <c r="F18" s="22">
        <v>0.96</v>
      </c>
      <c r="G18" s="22">
        <v>1.01</v>
      </c>
      <c r="H18" s="22">
        <v>1.01</v>
      </c>
    </row>
    <row r="19" spans="1:8" x14ac:dyDescent="0.25">
      <c r="A19" s="15"/>
      <c r="B19" s="16" t="s">
        <v>81</v>
      </c>
      <c r="C19" s="9" t="s">
        <v>56</v>
      </c>
      <c r="D19" s="22">
        <v>0.55000000000000004</v>
      </c>
      <c r="E19" s="22">
        <v>0.32</v>
      </c>
      <c r="F19" s="22">
        <v>0.54</v>
      </c>
      <c r="G19" s="22">
        <v>0.34</v>
      </c>
      <c r="H19" s="22">
        <v>0.34</v>
      </c>
    </row>
    <row r="20" spans="1:8" x14ac:dyDescent="0.25">
      <c r="A20" s="15"/>
      <c r="B20" s="16" t="s">
        <v>80</v>
      </c>
      <c r="C20" s="9" t="s">
        <v>79</v>
      </c>
      <c r="D20" s="22">
        <v>0.74</v>
      </c>
      <c r="E20" s="22">
        <v>0.43</v>
      </c>
      <c r="F20" s="22">
        <v>0.72</v>
      </c>
      <c r="G20" s="22">
        <v>0.45</v>
      </c>
      <c r="H20" s="22">
        <v>0.45</v>
      </c>
    </row>
    <row r="21" spans="1:8" x14ac:dyDescent="0.25">
      <c r="A21" s="15"/>
      <c r="B21" s="16" t="s">
        <v>78</v>
      </c>
      <c r="C21" s="9" t="s">
        <v>77</v>
      </c>
      <c r="D21" s="22">
        <v>9.8000000000000007</v>
      </c>
      <c r="E21" s="22">
        <v>9.6999999999999993</v>
      </c>
      <c r="F21" s="22">
        <v>9.6</v>
      </c>
      <c r="G21" s="22">
        <v>9.8000000000000007</v>
      </c>
      <c r="H21" s="22">
        <v>9.8000000000000007</v>
      </c>
    </row>
    <row r="22" spans="1:8" ht="15.75" customHeight="1" x14ac:dyDescent="0.25">
      <c r="A22" s="15"/>
      <c r="B22" s="21"/>
      <c r="C22" s="947" t="s">
        <v>76</v>
      </c>
      <c r="D22" s="948"/>
      <c r="E22" s="948"/>
      <c r="F22" s="948"/>
      <c r="G22" s="948"/>
      <c r="H22" s="949"/>
    </row>
    <row r="23" spans="1:8" x14ac:dyDescent="0.25">
      <c r="A23" s="15"/>
      <c r="B23" s="16">
        <v>8</v>
      </c>
      <c r="C23" s="28" t="s">
        <v>75</v>
      </c>
      <c r="D23" s="22">
        <v>2.5</v>
      </c>
      <c r="E23" s="22">
        <v>2.5</v>
      </c>
      <c r="F23" s="22">
        <v>2.5</v>
      </c>
      <c r="G23" s="22">
        <v>2.5</v>
      </c>
      <c r="H23" s="22">
        <v>2.5</v>
      </c>
    </row>
    <row r="24" spans="1:8" ht="30" x14ac:dyDescent="0.25">
      <c r="A24" s="15"/>
      <c r="B24" s="16" t="s">
        <v>25</v>
      </c>
      <c r="C24" s="28" t="s">
        <v>74</v>
      </c>
      <c r="D24" s="22">
        <v>0</v>
      </c>
      <c r="E24" s="22">
        <v>0</v>
      </c>
      <c r="F24" s="22">
        <v>0</v>
      </c>
      <c r="G24" s="22">
        <v>0</v>
      </c>
      <c r="H24" s="22">
        <v>0</v>
      </c>
    </row>
    <row r="25" spans="1:8" x14ac:dyDescent="0.25">
      <c r="A25" s="15"/>
      <c r="B25" s="16">
        <v>9</v>
      </c>
      <c r="C25" s="28" t="s">
        <v>73</v>
      </c>
      <c r="D25" s="22">
        <v>2.5</v>
      </c>
      <c r="E25" s="22">
        <v>2.5</v>
      </c>
      <c r="F25" s="22">
        <v>2.5</v>
      </c>
      <c r="G25" s="22">
        <v>2.5</v>
      </c>
      <c r="H25" s="22">
        <v>2</v>
      </c>
    </row>
    <row r="26" spans="1:8" x14ac:dyDescent="0.25">
      <c r="A26" s="15"/>
      <c r="B26" s="16" t="s">
        <v>72</v>
      </c>
      <c r="C26" s="28" t="s">
        <v>71</v>
      </c>
      <c r="D26" s="22">
        <v>0.51</v>
      </c>
      <c r="E26" s="22">
        <v>0.53</v>
      </c>
      <c r="F26" s="22">
        <v>0</v>
      </c>
      <c r="G26" s="22">
        <v>0</v>
      </c>
      <c r="H26" s="22">
        <v>0</v>
      </c>
    </row>
    <row r="27" spans="1:8" x14ac:dyDescent="0.25">
      <c r="A27" s="15"/>
      <c r="B27" s="16">
        <v>10</v>
      </c>
      <c r="C27" s="28" t="s">
        <v>70</v>
      </c>
      <c r="D27" s="22">
        <v>0</v>
      </c>
      <c r="E27" s="22">
        <v>0</v>
      </c>
      <c r="F27" s="22">
        <v>0</v>
      </c>
      <c r="G27" s="22">
        <v>0</v>
      </c>
      <c r="H27" s="22">
        <v>0</v>
      </c>
    </row>
    <row r="28" spans="1:8" x14ac:dyDescent="0.25">
      <c r="A28" s="15"/>
      <c r="B28" s="16" t="s">
        <v>69</v>
      </c>
      <c r="C28" s="9" t="s">
        <v>68</v>
      </c>
      <c r="D28" s="22">
        <v>0</v>
      </c>
      <c r="E28" s="22">
        <v>0</v>
      </c>
      <c r="F28" s="22">
        <v>0</v>
      </c>
      <c r="G28" s="22">
        <v>0</v>
      </c>
      <c r="H28" s="22">
        <v>0</v>
      </c>
    </row>
    <row r="29" spans="1:8" x14ac:dyDescent="0.25">
      <c r="A29" s="15"/>
      <c r="B29" s="16">
        <v>11</v>
      </c>
      <c r="C29" s="28" t="s">
        <v>67</v>
      </c>
      <c r="D29" s="22">
        <v>5.51</v>
      </c>
      <c r="E29" s="22">
        <v>5.53</v>
      </c>
      <c r="F29" s="22">
        <v>5</v>
      </c>
      <c r="G29" s="22">
        <v>5</v>
      </c>
      <c r="H29" s="22">
        <v>4.5</v>
      </c>
    </row>
    <row r="30" spans="1:8" x14ac:dyDescent="0.25">
      <c r="A30" s="15"/>
      <c r="B30" s="16" t="s">
        <v>66</v>
      </c>
      <c r="C30" s="28" t="s">
        <v>65</v>
      </c>
      <c r="D30" s="22">
        <f>+D21+D29</f>
        <v>15.31</v>
      </c>
      <c r="E30" s="22">
        <f>+E21+E29</f>
        <v>15.23</v>
      </c>
      <c r="F30" s="22">
        <f>+F21+F29</f>
        <v>14.6</v>
      </c>
      <c r="G30" s="22">
        <f>+G21+G29</f>
        <v>14.8</v>
      </c>
      <c r="H30" s="22">
        <f>+H21+H29</f>
        <v>14.3</v>
      </c>
    </row>
    <row r="31" spans="1:8" ht="14.45" customHeight="1" x14ac:dyDescent="0.25">
      <c r="A31" s="15"/>
      <c r="B31" s="16">
        <v>12</v>
      </c>
      <c r="C31" s="28" t="s">
        <v>64</v>
      </c>
      <c r="D31" s="22">
        <f>+D16-D21</f>
        <v>14.301933808048936</v>
      </c>
      <c r="E31" s="22">
        <f>+E16-E21</f>
        <v>14.916307360235191</v>
      </c>
      <c r="F31" s="22">
        <f>+F16-F21</f>
        <v>16.090613904668217</v>
      </c>
      <c r="G31" s="22">
        <f>+G16-G21</f>
        <v>14.597935093947786</v>
      </c>
      <c r="H31" s="22">
        <f>+H16-H21</f>
        <v>15.972259055144807</v>
      </c>
    </row>
    <row r="32" spans="1:8" x14ac:dyDescent="0.25">
      <c r="A32" s="15"/>
      <c r="B32" s="21"/>
      <c r="C32" s="938" t="s">
        <v>63</v>
      </c>
      <c r="D32" s="939"/>
      <c r="E32" s="939"/>
      <c r="F32" s="939"/>
      <c r="G32" s="939"/>
      <c r="H32" s="940"/>
    </row>
    <row r="33" spans="1:8" x14ac:dyDescent="0.25">
      <c r="A33" s="15"/>
      <c r="B33" s="16">
        <v>13</v>
      </c>
      <c r="C33" s="18" t="s">
        <v>62</v>
      </c>
      <c r="D33" s="23">
        <v>10850676</v>
      </c>
      <c r="E33" s="23">
        <v>10530859</v>
      </c>
      <c r="F33" s="23">
        <v>9939108</v>
      </c>
      <c r="G33" s="23">
        <v>9774130</v>
      </c>
      <c r="H33" s="23">
        <v>9971412</v>
      </c>
    </row>
    <row r="34" spans="1:8" x14ac:dyDescent="0.25">
      <c r="A34" s="15"/>
      <c r="B34" s="13">
        <v>14</v>
      </c>
      <c r="C34" s="24" t="s">
        <v>61</v>
      </c>
      <c r="D34" s="22">
        <v>11.41</v>
      </c>
      <c r="E34" s="22">
        <v>10.9</v>
      </c>
      <c r="F34" s="22">
        <v>11.6</v>
      </c>
      <c r="G34" s="22">
        <v>10.63</v>
      </c>
      <c r="H34" s="22">
        <v>10.6</v>
      </c>
    </row>
    <row r="35" spans="1:8" ht="15" customHeight="1" x14ac:dyDescent="0.25">
      <c r="B35" s="21"/>
      <c r="C35" s="947" t="s">
        <v>60</v>
      </c>
      <c r="D35" s="948"/>
      <c r="E35" s="948"/>
      <c r="F35" s="948"/>
      <c r="G35" s="948"/>
      <c r="H35" s="949"/>
    </row>
    <row r="36" spans="1:8" s="25" customFormat="1" ht="30" x14ac:dyDescent="0.25">
      <c r="B36" s="13" t="s">
        <v>59</v>
      </c>
      <c r="C36" s="9" t="s">
        <v>58</v>
      </c>
      <c r="D36" s="26">
        <v>0</v>
      </c>
      <c r="E36" s="26">
        <v>0</v>
      </c>
      <c r="F36" s="26">
        <v>0</v>
      </c>
      <c r="G36" s="26">
        <v>0</v>
      </c>
      <c r="H36" s="26">
        <v>0</v>
      </c>
    </row>
    <row r="37" spans="1:8" s="25" customFormat="1" x14ac:dyDescent="0.25">
      <c r="B37" s="13" t="s">
        <v>57</v>
      </c>
      <c r="C37" s="9" t="s">
        <v>56</v>
      </c>
      <c r="D37" s="26">
        <v>0</v>
      </c>
      <c r="E37" s="26">
        <v>0</v>
      </c>
      <c r="F37" s="26">
        <v>0</v>
      </c>
      <c r="G37" s="26">
        <v>0</v>
      </c>
      <c r="H37" s="26">
        <v>0</v>
      </c>
    </row>
    <row r="38" spans="1:8" s="25" customFormat="1" x14ac:dyDescent="0.25">
      <c r="B38" s="13" t="s">
        <v>55</v>
      </c>
      <c r="C38" s="9" t="s">
        <v>54</v>
      </c>
      <c r="D38" s="26">
        <v>3</v>
      </c>
      <c r="E38" s="26">
        <v>3</v>
      </c>
      <c r="F38" s="26">
        <v>3</v>
      </c>
      <c r="G38" s="26">
        <v>3</v>
      </c>
      <c r="H38" s="26">
        <v>3</v>
      </c>
    </row>
    <row r="39" spans="1:8" s="25" customFormat="1" ht="15" customHeight="1" x14ac:dyDescent="0.25">
      <c r="B39" s="21"/>
      <c r="C39" s="947" t="s">
        <v>53</v>
      </c>
      <c r="D39" s="948"/>
      <c r="E39" s="948"/>
      <c r="F39" s="948"/>
      <c r="G39" s="948"/>
      <c r="H39" s="949"/>
    </row>
    <row r="40" spans="1:8" s="25" customFormat="1" x14ac:dyDescent="0.25">
      <c r="B40" s="13" t="s">
        <v>52</v>
      </c>
      <c r="C40" s="27" t="s">
        <v>51</v>
      </c>
      <c r="D40" s="26">
        <v>0</v>
      </c>
      <c r="E40" s="26">
        <v>0</v>
      </c>
      <c r="F40" s="26">
        <v>0</v>
      </c>
      <c r="G40" s="26">
        <v>0</v>
      </c>
      <c r="H40" s="26">
        <v>0</v>
      </c>
    </row>
    <row r="41" spans="1:8" s="25" customFormat="1" x14ac:dyDescent="0.25">
      <c r="B41" s="13" t="s">
        <v>50</v>
      </c>
      <c r="C41" s="27" t="s">
        <v>49</v>
      </c>
      <c r="D41" s="26">
        <v>3</v>
      </c>
      <c r="E41" s="26">
        <v>3</v>
      </c>
      <c r="F41" s="26">
        <v>3</v>
      </c>
      <c r="G41" s="26">
        <v>3</v>
      </c>
      <c r="H41" s="26">
        <v>3</v>
      </c>
    </row>
    <row r="42" spans="1:8" x14ac:dyDescent="0.25">
      <c r="A42" s="15"/>
      <c r="B42" s="21"/>
      <c r="C42" s="938" t="s">
        <v>48</v>
      </c>
      <c r="D42" s="939"/>
      <c r="E42" s="939"/>
      <c r="F42" s="939"/>
      <c r="G42" s="939"/>
      <c r="H42" s="940"/>
    </row>
    <row r="43" spans="1:8" ht="30" x14ac:dyDescent="0.25">
      <c r="A43" s="15"/>
      <c r="B43" s="16">
        <v>15</v>
      </c>
      <c r="C43" s="18" t="s">
        <v>47</v>
      </c>
      <c r="D43" s="23">
        <v>119</v>
      </c>
      <c r="E43" s="23">
        <v>120</v>
      </c>
      <c r="F43" s="23">
        <v>201</v>
      </c>
      <c r="G43" s="23">
        <v>3589</v>
      </c>
      <c r="H43" s="23">
        <v>4753</v>
      </c>
    </row>
    <row r="44" spans="1:8" x14ac:dyDescent="0.25">
      <c r="A44" s="15"/>
      <c r="B44" s="13" t="s">
        <v>46</v>
      </c>
      <c r="C44" s="24" t="s">
        <v>45</v>
      </c>
      <c r="D44" s="23">
        <f>1294109426/1000</f>
        <v>1294109.426</v>
      </c>
      <c r="E44" s="23">
        <f>1259351001/1000</f>
        <v>1259351.0009999999</v>
      </c>
      <c r="F44" s="23">
        <f>1098754035/1000</f>
        <v>1098754.0349999999</v>
      </c>
      <c r="G44" s="23">
        <v>1074592</v>
      </c>
      <c r="H44" s="23">
        <v>1302629</v>
      </c>
    </row>
    <row r="45" spans="1:8" x14ac:dyDescent="0.25">
      <c r="A45" s="15"/>
      <c r="B45" s="13" t="s">
        <v>44</v>
      </c>
      <c r="C45" s="24" t="s">
        <v>43</v>
      </c>
      <c r="D45" s="23">
        <f>423261001/1000</f>
        <v>423261.00099999999</v>
      </c>
      <c r="E45" s="23">
        <f>402776718/1000</f>
        <v>402776.71799999999</v>
      </c>
      <c r="F45" s="23">
        <f>321866303/1000</f>
        <v>321866.30300000001</v>
      </c>
      <c r="G45" s="23">
        <v>318087</v>
      </c>
      <c r="H45" s="23">
        <v>293759</v>
      </c>
    </row>
    <row r="46" spans="1:8" x14ac:dyDescent="0.25">
      <c r="A46" s="15"/>
      <c r="B46" s="16">
        <v>16</v>
      </c>
      <c r="C46" s="18" t="s">
        <v>42</v>
      </c>
      <c r="D46" s="23">
        <f>+D44-D45</f>
        <v>870848.42500000005</v>
      </c>
      <c r="E46" s="23">
        <f>+E44-E45</f>
        <v>856574.28299999994</v>
      </c>
      <c r="F46" s="23">
        <f>+F44-F45</f>
        <v>776887.73199999984</v>
      </c>
      <c r="G46" s="23">
        <f>+G44-G45</f>
        <v>756505</v>
      </c>
      <c r="H46" s="23">
        <f>+H44-H45</f>
        <v>1008870</v>
      </c>
    </row>
    <row r="47" spans="1:8" x14ac:dyDescent="0.25">
      <c r="A47" s="15"/>
      <c r="B47" s="16">
        <v>17</v>
      </c>
      <c r="C47" s="18" t="s">
        <v>41</v>
      </c>
      <c r="D47" s="22">
        <v>415.06</v>
      </c>
      <c r="E47" s="22">
        <v>426.95</v>
      </c>
      <c r="F47" s="22">
        <v>344.82</v>
      </c>
      <c r="G47" s="22">
        <v>328.9</v>
      </c>
      <c r="H47" s="22">
        <v>362.89</v>
      </c>
    </row>
    <row r="48" spans="1:8" x14ac:dyDescent="0.25">
      <c r="A48" s="15"/>
      <c r="B48" s="21"/>
      <c r="C48" s="938" t="s">
        <v>40</v>
      </c>
      <c r="D48" s="939"/>
      <c r="E48" s="939"/>
      <c r="F48" s="939"/>
      <c r="G48" s="939"/>
      <c r="H48" s="940"/>
    </row>
    <row r="49" spans="1:8" x14ac:dyDescent="0.25">
      <c r="A49" s="15"/>
      <c r="B49" s="16">
        <v>18</v>
      </c>
      <c r="C49" s="18" t="s">
        <v>39</v>
      </c>
      <c r="D49" s="19">
        <v>8007071</v>
      </c>
      <c r="E49" s="19">
        <v>7811087</v>
      </c>
      <c r="F49" s="19">
        <f>7471892800/1000</f>
        <v>7471892.7999999998</v>
      </c>
      <c r="G49" s="19">
        <v>7247327</v>
      </c>
      <c r="H49" s="19">
        <v>7397729</v>
      </c>
    </row>
    <row r="50" spans="1:8" x14ac:dyDescent="0.25">
      <c r="A50" s="15"/>
      <c r="B50" s="16">
        <v>19</v>
      </c>
      <c r="C50" s="20" t="s">
        <v>38</v>
      </c>
      <c r="D50" s="19">
        <v>5160010</v>
      </c>
      <c r="E50" s="19">
        <v>4969760</v>
      </c>
      <c r="F50" s="19">
        <f>4902696337/1000</f>
        <v>4902696.3370000003</v>
      </c>
      <c r="G50" s="19">
        <v>4545112</v>
      </c>
      <c r="H50" s="19">
        <v>4211634</v>
      </c>
    </row>
    <row r="51" spans="1:8" x14ac:dyDescent="0.25">
      <c r="A51" s="15"/>
      <c r="B51" s="16">
        <v>20</v>
      </c>
      <c r="C51" s="18" t="s">
        <v>37</v>
      </c>
      <c r="D51" s="17">
        <f>+D49/D50*100</f>
        <v>155.17549384594216</v>
      </c>
      <c r="E51" s="17">
        <f>+E49/E50*100</f>
        <v>157.17231818035478</v>
      </c>
      <c r="F51" s="17">
        <f>+F49/F50*100</f>
        <v>152.40374451932936</v>
      </c>
      <c r="G51" s="17">
        <f>+G49/G50*100</f>
        <v>159.45321039393531</v>
      </c>
      <c r="H51" s="17">
        <f>+H49/H50*100</f>
        <v>175.64985466448414</v>
      </c>
    </row>
    <row r="52" spans="1:8" x14ac:dyDescent="0.25">
      <c r="A52" s="15"/>
    </row>
    <row r="53" spans="1:8" x14ac:dyDescent="0.25">
      <c r="A53" s="15"/>
    </row>
    <row r="54" spans="1:8" x14ac:dyDescent="0.25">
      <c r="A54" s="15"/>
    </row>
    <row r="55" spans="1:8" x14ac:dyDescent="0.25">
      <c r="A55" s="15"/>
    </row>
    <row r="56" spans="1:8" x14ac:dyDescent="0.25">
      <c r="A56" s="15"/>
    </row>
    <row r="57" spans="1:8" x14ac:dyDescent="0.25">
      <c r="A57" s="15"/>
    </row>
    <row r="58" spans="1:8" x14ac:dyDescent="0.25">
      <c r="A58" s="15"/>
    </row>
    <row r="59" spans="1:8" x14ac:dyDescent="0.25">
      <c r="A59" s="15"/>
    </row>
    <row r="60" spans="1:8" x14ac:dyDescent="0.25">
      <c r="A60" s="15"/>
    </row>
    <row r="61" spans="1:8" x14ac:dyDescent="0.25">
      <c r="A61" s="15"/>
    </row>
    <row r="62" spans="1:8" x14ac:dyDescent="0.25">
      <c r="A62" s="15"/>
    </row>
    <row r="63" spans="1:8" x14ac:dyDescent="0.25">
      <c r="A63" s="15"/>
    </row>
    <row r="64" spans="1:8" x14ac:dyDescent="0.25">
      <c r="A64" s="15"/>
    </row>
    <row r="65" spans="1:1" x14ac:dyDescent="0.25">
      <c r="A65" s="15"/>
    </row>
    <row r="66" spans="1:1" x14ac:dyDescent="0.25">
      <c r="A66" s="15"/>
    </row>
    <row r="67" spans="1:1" x14ac:dyDescent="0.25">
      <c r="A67" s="15"/>
    </row>
    <row r="68" spans="1:1" x14ac:dyDescent="0.25">
      <c r="A68" s="15"/>
    </row>
    <row r="69" spans="1:1" x14ac:dyDescent="0.25">
      <c r="A69" s="15"/>
    </row>
    <row r="70" spans="1:1" x14ac:dyDescent="0.25">
      <c r="A70" s="15"/>
    </row>
    <row r="71" spans="1:1" x14ac:dyDescent="0.25">
      <c r="A71" s="15"/>
    </row>
    <row r="72" spans="1:1" x14ac:dyDescent="0.25">
      <c r="A72" s="15"/>
    </row>
    <row r="73" spans="1:1" x14ac:dyDescent="0.25">
      <c r="A73" s="15"/>
    </row>
    <row r="74" spans="1:1" x14ac:dyDescent="0.25">
      <c r="A74" s="15"/>
    </row>
    <row r="75" spans="1:1" x14ac:dyDescent="0.25">
      <c r="A75" s="15"/>
    </row>
    <row r="76" spans="1:1" x14ac:dyDescent="0.25">
      <c r="A76" s="15"/>
    </row>
    <row r="77" spans="1:1" x14ac:dyDescent="0.25">
      <c r="A77" s="15"/>
    </row>
    <row r="78" spans="1:1" x14ac:dyDescent="0.25">
      <c r="A78" s="15"/>
    </row>
    <row r="79" spans="1:1" x14ac:dyDescent="0.25">
      <c r="A79" s="15"/>
    </row>
    <row r="80" spans="1:1" x14ac:dyDescent="0.25">
      <c r="A80" s="15"/>
    </row>
    <row r="81" spans="1:1" x14ac:dyDescent="0.25">
      <c r="A81" s="15"/>
    </row>
    <row r="82" spans="1:1" x14ac:dyDescent="0.25">
      <c r="A82" s="15"/>
    </row>
    <row r="83" spans="1:1" x14ac:dyDescent="0.25">
      <c r="A83" s="15"/>
    </row>
    <row r="84" spans="1:1" x14ac:dyDescent="0.25">
      <c r="A84" s="15"/>
    </row>
    <row r="85" spans="1:1" x14ac:dyDescent="0.25">
      <c r="A85" s="15"/>
    </row>
    <row r="86" spans="1:1" x14ac:dyDescent="0.25">
      <c r="A86" s="15"/>
    </row>
    <row r="87" spans="1:1" x14ac:dyDescent="0.25">
      <c r="A87" s="15"/>
    </row>
    <row r="88" spans="1:1" x14ac:dyDescent="0.25">
      <c r="A88" s="15"/>
    </row>
    <row r="89" spans="1:1" x14ac:dyDescent="0.25">
      <c r="A89" s="15"/>
    </row>
    <row r="90" spans="1:1" x14ac:dyDescent="0.25">
      <c r="A90" s="15"/>
    </row>
    <row r="91" spans="1:1" x14ac:dyDescent="0.25">
      <c r="A91" s="15"/>
    </row>
    <row r="92" spans="1:1" x14ac:dyDescent="0.25">
      <c r="A92" s="15"/>
    </row>
    <row r="93" spans="1:1" x14ac:dyDescent="0.25">
      <c r="A93" s="15"/>
    </row>
    <row r="94" spans="1:1" x14ac:dyDescent="0.25">
      <c r="A94" s="15"/>
    </row>
    <row r="95" spans="1:1" x14ac:dyDescent="0.25">
      <c r="A95" s="15"/>
    </row>
    <row r="96" spans="1:1" x14ac:dyDescent="0.25">
      <c r="A96" s="15"/>
    </row>
    <row r="97" spans="1:10" x14ac:dyDescent="0.25">
      <c r="A97" s="15"/>
    </row>
    <row r="98" spans="1:10" x14ac:dyDescent="0.25">
      <c r="A98" s="15"/>
    </row>
    <row r="99" spans="1:10" x14ac:dyDescent="0.25">
      <c r="A99" s="15"/>
    </row>
    <row r="100" spans="1:10" x14ac:dyDescent="0.25">
      <c r="A100" s="15"/>
    </row>
    <row r="101" spans="1:10" x14ac:dyDescent="0.25">
      <c r="A101" s="15"/>
    </row>
    <row r="102" spans="1:10" x14ac:dyDescent="0.25">
      <c r="A102" s="15"/>
    </row>
    <row r="103" spans="1:10" x14ac:dyDescent="0.25">
      <c r="A103" s="15"/>
    </row>
    <row r="104" spans="1:10" x14ac:dyDescent="0.25">
      <c r="A104" s="15"/>
    </row>
    <row r="105" spans="1:10" x14ac:dyDescent="0.25">
      <c r="A105" s="15"/>
      <c r="B105" s="15"/>
      <c r="C105" s="15"/>
      <c r="D105" s="15"/>
      <c r="E105" s="15"/>
      <c r="F105" s="15"/>
      <c r="G105" s="15"/>
      <c r="H105" s="15"/>
      <c r="I105" s="15"/>
      <c r="J105" s="15"/>
    </row>
    <row r="106" spans="1:10" x14ac:dyDescent="0.25">
      <c r="A106" s="15"/>
      <c r="B106" s="15"/>
      <c r="C106" s="15"/>
      <c r="D106" s="15"/>
      <c r="E106" s="15"/>
      <c r="F106" s="15"/>
      <c r="G106" s="15"/>
      <c r="H106" s="15"/>
      <c r="I106" s="15"/>
      <c r="J106" s="15"/>
    </row>
    <row r="107" spans="1:10" x14ac:dyDescent="0.25">
      <c r="A107" s="15"/>
      <c r="B107" s="15"/>
      <c r="C107" s="15"/>
      <c r="D107" s="15"/>
      <c r="E107" s="15"/>
      <c r="F107" s="15"/>
      <c r="G107" s="15"/>
      <c r="H107" s="15"/>
      <c r="I107" s="15"/>
      <c r="J107" s="15"/>
    </row>
    <row r="108" spans="1:10" x14ac:dyDescent="0.25">
      <c r="A108" s="15"/>
      <c r="B108" s="15"/>
      <c r="C108" s="15"/>
      <c r="D108" s="15"/>
      <c r="E108" s="15"/>
      <c r="F108" s="15"/>
      <c r="G108" s="15"/>
      <c r="H108" s="15"/>
      <c r="I108" s="15"/>
      <c r="J108" s="15"/>
    </row>
    <row r="109" spans="1:10" x14ac:dyDescent="0.25">
      <c r="A109" s="15"/>
      <c r="B109" s="15"/>
      <c r="C109" s="15"/>
      <c r="D109" s="15"/>
      <c r="E109" s="15"/>
      <c r="F109" s="15"/>
      <c r="G109" s="15"/>
      <c r="H109" s="15"/>
      <c r="I109" s="15"/>
      <c r="J109" s="15"/>
    </row>
    <row r="110" spans="1:10" x14ac:dyDescent="0.25">
      <c r="A110" s="15"/>
      <c r="B110" s="15"/>
      <c r="C110" s="15"/>
      <c r="D110" s="15"/>
      <c r="E110" s="15"/>
      <c r="F110" s="15"/>
      <c r="G110" s="15"/>
      <c r="H110" s="15"/>
      <c r="I110" s="15"/>
      <c r="J110" s="15"/>
    </row>
    <row r="111" spans="1:10" x14ac:dyDescent="0.25">
      <c r="A111" s="15"/>
      <c r="B111" s="15"/>
      <c r="C111" s="15"/>
      <c r="D111" s="15"/>
      <c r="E111" s="15"/>
      <c r="F111" s="15"/>
      <c r="G111" s="15"/>
      <c r="H111" s="15"/>
      <c r="I111" s="15"/>
      <c r="J111" s="15"/>
    </row>
    <row r="112" spans="1:10" x14ac:dyDescent="0.25">
      <c r="A112" s="15"/>
      <c r="B112" s="15"/>
      <c r="C112" s="15"/>
      <c r="D112" s="15"/>
      <c r="E112" s="15"/>
      <c r="F112" s="15"/>
      <c r="G112" s="15"/>
      <c r="H112" s="15"/>
      <c r="I112" s="15"/>
      <c r="J112" s="15"/>
    </row>
    <row r="113" spans="1:10" x14ac:dyDescent="0.25">
      <c r="A113" s="15"/>
      <c r="B113" s="15"/>
      <c r="C113" s="15"/>
      <c r="D113" s="15"/>
      <c r="E113" s="15"/>
      <c r="F113" s="15"/>
      <c r="G113" s="15"/>
      <c r="H113" s="15"/>
      <c r="I113" s="15"/>
      <c r="J113" s="15"/>
    </row>
    <row r="114" spans="1:10" x14ac:dyDescent="0.25">
      <c r="A114" s="15"/>
      <c r="B114" s="15"/>
      <c r="C114" s="15"/>
      <c r="D114" s="15"/>
      <c r="E114" s="15"/>
      <c r="F114" s="15"/>
      <c r="G114" s="15"/>
      <c r="H114" s="15"/>
      <c r="I114" s="15"/>
      <c r="J114" s="15"/>
    </row>
    <row r="115" spans="1:10" x14ac:dyDescent="0.25">
      <c r="A115" s="15"/>
      <c r="B115" s="15"/>
      <c r="C115" s="15"/>
      <c r="D115" s="15"/>
      <c r="E115" s="15"/>
      <c r="F115" s="15"/>
      <c r="G115" s="15"/>
      <c r="H115" s="15"/>
      <c r="I115" s="15"/>
      <c r="J115" s="15"/>
    </row>
    <row r="116" spans="1:10" x14ac:dyDescent="0.25">
      <c r="A116" s="15"/>
      <c r="B116" s="15"/>
      <c r="C116" s="15"/>
      <c r="D116" s="15"/>
      <c r="E116" s="15"/>
      <c r="F116" s="15"/>
      <c r="G116" s="15"/>
      <c r="H116" s="15"/>
      <c r="I116" s="15"/>
      <c r="J116" s="15"/>
    </row>
    <row r="117" spans="1:10" x14ac:dyDescent="0.25">
      <c r="A117" s="15"/>
      <c r="B117" s="15"/>
      <c r="C117" s="15"/>
      <c r="D117" s="15"/>
      <c r="E117" s="15"/>
      <c r="F117" s="15"/>
      <c r="G117" s="15"/>
      <c r="H117" s="15"/>
      <c r="I117" s="15"/>
      <c r="J117" s="15"/>
    </row>
    <row r="118" spans="1:10" x14ac:dyDescent="0.25">
      <c r="A118" s="15"/>
      <c r="B118" s="15"/>
      <c r="C118" s="15"/>
      <c r="D118" s="15"/>
      <c r="E118" s="15"/>
      <c r="F118" s="15"/>
      <c r="G118" s="15"/>
      <c r="H118" s="15"/>
      <c r="I118" s="15"/>
      <c r="J118" s="15"/>
    </row>
    <row r="119" spans="1:10" x14ac:dyDescent="0.25">
      <c r="A119" s="15"/>
      <c r="B119" s="15"/>
      <c r="C119" s="15"/>
      <c r="D119" s="15"/>
      <c r="E119" s="15"/>
      <c r="F119" s="15"/>
      <c r="G119" s="15"/>
      <c r="H119" s="15"/>
      <c r="I119" s="15"/>
      <c r="J119" s="15"/>
    </row>
    <row r="120" spans="1:10" x14ac:dyDescent="0.25">
      <c r="A120" s="15"/>
      <c r="B120" s="15"/>
      <c r="C120" s="15"/>
      <c r="D120" s="15"/>
      <c r="E120" s="15"/>
      <c r="F120" s="15"/>
      <c r="G120" s="15"/>
      <c r="H120" s="15"/>
      <c r="I120" s="15"/>
      <c r="J120" s="15"/>
    </row>
    <row r="121" spans="1:10" x14ac:dyDescent="0.25">
      <c r="A121" s="15"/>
      <c r="B121" s="15"/>
      <c r="C121" s="15"/>
      <c r="D121" s="15"/>
      <c r="E121" s="15"/>
      <c r="F121" s="15"/>
      <c r="G121" s="15"/>
      <c r="H121" s="15"/>
      <c r="I121" s="15"/>
      <c r="J121" s="15"/>
    </row>
    <row r="122" spans="1:10" x14ac:dyDescent="0.25">
      <c r="A122" s="15"/>
      <c r="B122" s="15"/>
      <c r="C122" s="15"/>
      <c r="D122" s="15"/>
      <c r="E122" s="15"/>
      <c r="F122" s="15"/>
      <c r="G122" s="15"/>
      <c r="H122" s="15"/>
      <c r="I122" s="15"/>
      <c r="J122" s="15"/>
    </row>
    <row r="123" spans="1:10" x14ac:dyDescent="0.25">
      <c r="A123" s="15"/>
      <c r="B123" s="15"/>
      <c r="C123" s="15"/>
      <c r="D123" s="15"/>
      <c r="E123" s="15"/>
      <c r="F123" s="15"/>
      <c r="G123" s="15"/>
      <c r="H123" s="15"/>
      <c r="I123" s="15"/>
      <c r="J123" s="15"/>
    </row>
    <row r="124" spans="1:10" x14ac:dyDescent="0.25">
      <c r="A124" s="15"/>
      <c r="B124" s="15"/>
      <c r="C124" s="15"/>
      <c r="D124" s="15"/>
      <c r="E124" s="15"/>
      <c r="F124" s="15"/>
      <c r="G124" s="15"/>
      <c r="H124" s="15"/>
      <c r="I124" s="15"/>
      <c r="J124" s="15"/>
    </row>
    <row r="125" spans="1:10" x14ac:dyDescent="0.25">
      <c r="A125" s="15"/>
      <c r="B125" s="15"/>
      <c r="C125" s="15"/>
      <c r="D125" s="15"/>
      <c r="E125" s="15"/>
      <c r="F125" s="15"/>
      <c r="G125" s="15"/>
      <c r="H125" s="15"/>
      <c r="I125" s="15"/>
      <c r="J125" s="15"/>
    </row>
    <row r="126" spans="1:10" x14ac:dyDescent="0.25">
      <c r="A126" s="15"/>
      <c r="B126" s="15"/>
      <c r="C126" s="15"/>
      <c r="D126" s="15"/>
      <c r="E126" s="15"/>
      <c r="F126" s="15"/>
      <c r="G126" s="15"/>
      <c r="H126" s="15"/>
      <c r="I126" s="15"/>
      <c r="J126" s="15"/>
    </row>
    <row r="127" spans="1:10" x14ac:dyDescent="0.25">
      <c r="A127" s="15"/>
      <c r="B127" s="15"/>
      <c r="C127" s="15"/>
      <c r="D127" s="15"/>
      <c r="E127" s="15"/>
      <c r="F127" s="15"/>
      <c r="G127" s="15"/>
      <c r="H127" s="15"/>
      <c r="I127" s="15"/>
      <c r="J127" s="15"/>
    </row>
    <row r="128" spans="1:10" x14ac:dyDescent="0.25">
      <c r="A128" s="15"/>
      <c r="B128" s="15"/>
      <c r="C128" s="15"/>
      <c r="D128" s="15"/>
      <c r="E128" s="15"/>
      <c r="F128" s="15"/>
      <c r="G128" s="15"/>
      <c r="H128" s="15"/>
      <c r="I128" s="15"/>
      <c r="J128" s="15"/>
    </row>
    <row r="129" spans="1:10" x14ac:dyDescent="0.25">
      <c r="A129" s="15"/>
      <c r="B129" s="15"/>
      <c r="C129" s="15"/>
      <c r="D129" s="15"/>
      <c r="E129" s="15"/>
      <c r="F129" s="15"/>
      <c r="G129" s="15"/>
      <c r="H129" s="15"/>
      <c r="I129" s="15"/>
      <c r="J129" s="15"/>
    </row>
    <row r="130" spans="1:10" x14ac:dyDescent="0.25">
      <c r="A130" s="15"/>
      <c r="B130" s="15"/>
      <c r="C130" s="15"/>
      <c r="D130" s="15"/>
      <c r="E130" s="15"/>
      <c r="F130" s="15"/>
      <c r="G130" s="15"/>
      <c r="H130" s="15"/>
      <c r="I130" s="15"/>
      <c r="J130" s="15"/>
    </row>
    <row r="131" spans="1:10" x14ac:dyDescent="0.25">
      <c r="A131" s="15"/>
      <c r="B131" s="15"/>
      <c r="C131" s="15"/>
      <c r="D131" s="15"/>
      <c r="E131" s="15"/>
      <c r="F131" s="15"/>
      <c r="G131" s="15"/>
      <c r="H131" s="15"/>
      <c r="I131" s="15"/>
      <c r="J131" s="15"/>
    </row>
    <row r="132" spans="1:10" x14ac:dyDescent="0.25">
      <c r="A132" s="15"/>
      <c r="B132" s="15"/>
      <c r="C132" s="15"/>
      <c r="D132" s="15"/>
      <c r="E132" s="15"/>
      <c r="F132" s="15"/>
      <c r="G132" s="15"/>
      <c r="H132" s="15"/>
      <c r="I132" s="15"/>
      <c r="J132" s="15"/>
    </row>
    <row r="133" spans="1:10" x14ac:dyDescent="0.25">
      <c r="A133" s="15"/>
      <c r="B133" s="15"/>
      <c r="C133" s="15"/>
      <c r="D133" s="15"/>
      <c r="E133" s="15"/>
      <c r="F133" s="15"/>
      <c r="G133" s="15"/>
      <c r="H133" s="15"/>
      <c r="I133" s="15"/>
      <c r="J133" s="15"/>
    </row>
    <row r="134" spans="1:10" x14ac:dyDescent="0.25">
      <c r="A134" s="15"/>
      <c r="B134" s="15"/>
      <c r="C134" s="15"/>
      <c r="D134" s="15"/>
      <c r="E134" s="15"/>
      <c r="F134" s="15"/>
      <c r="G134" s="15"/>
      <c r="H134" s="15"/>
      <c r="I134" s="15"/>
      <c r="J134" s="15"/>
    </row>
  </sheetData>
  <mergeCells count="11">
    <mergeCell ref="B5:C6"/>
    <mergeCell ref="C32:H32"/>
    <mergeCell ref="C42:H42"/>
    <mergeCell ref="C48:H48"/>
    <mergeCell ref="C7:H7"/>
    <mergeCell ref="C11:H11"/>
    <mergeCell ref="C13:H13"/>
    <mergeCell ref="C17:H17"/>
    <mergeCell ref="C22:H22"/>
    <mergeCell ref="C35:H35"/>
    <mergeCell ref="C39:H39"/>
  </mergeCells>
  <hyperlinks>
    <hyperlink ref="B2" location="Indhold!B5" display="Skema EU KM1 – Skema om væsentlige målekriterier" xr:uid="{848DC142-25DF-434C-BD8E-C435C0119BAA}"/>
  </hyperlinks>
  <pageMargins left="0.70866141732283472" right="0.70866141732283472" top="0.74803149606299213" bottom="0.74803149606299213" header="0.31496062992125984" footer="0.31496062992125984"/>
  <pageSetup paperSize="9" orientation="landscape" r:id="rId1"/>
  <headerFooter>
    <oddHeader>&amp;CDA
Bilag I</oddHeader>
    <oddFooter>&amp;C&amp;P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D6ABF-989D-4136-9912-D8618606AACC}">
  <sheetPr>
    <tabColor rgb="FF0070C0"/>
  </sheetPr>
  <dimension ref="B2:R11"/>
  <sheetViews>
    <sheetView showGridLines="0" zoomScaleNormal="100" workbookViewId="0">
      <selection activeCell="B2" sqref="B2"/>
    </sheetView>
  </sheetViews>
  <sheetFormatPr defaultColWidth="8.85546875" defaultRowHeight="12.75" x14ac:dyDescent="0.25"/>
  <cols>
    <col min="1" max="1" width="8.85546875" style="386"/>
    <col min="2" max="2" width="5.7109375" style="386" customWidth="1"/>
    <col min="3" max="3" width="72" style="386" customWidth="1"/>
    <col min="4" max="8" width="17.7109375" style="386" customWidth="1"/>
    <col min="9" max="9" width="19.42578125" style="386" customWidth="1"/>
    <col min="10" max="11" width="17.7109375" style="386" customWidth="1"/>
    <col min="12" max="12" width="13.7109375" style="386" customWidth="1"/>
    <col min="13" max="16384" width="8.85546875" style="386"/>
  </cols>
  <sheetData>
    <row r="2" spans="2:18" ht="20.100000000000001" customHeight="1" x14ac:dyDescent="0.3">
      <c r="B2" s="866" t="s">
        <v>1234</v>
      </c>
      <c r="D2" s="416"/>
      <c r="E2" s="416"/>
      <c r="F2" s="416"/>
      <c r="G2" s="416"/>
      <c r="H2" s="416"/>
      <c r="I2" s="416"/>
      <c r="J2" s="416"/>
      <c r="K2" s="416"/>
      <c r="L2" s="416"/>
      <c r="M2" s="416"/>
      <c r="N2" s="416"/>
      <c r="O2" s="416"/>
      <c r="P2" s="416"/>
      <c r="Q2" s="416"/>
      <c r="R2" s="416"/>
    </row>
    <row r="3" spans="2:18" ht="15" customHeight="1" x14ac:dyDescent="0.25">
      <c r="C3" s="397"/>
      <c r="D3" s="387"/>
      <c r="E3" s="387"/>
      <c r="F3" s="387"/>
      <c r="G3" s="387"/>
      <c r="H3" s="387"/>
    </row>
    <row r="4" spans="2:18" ht="15" customHeight="1" x14ac:dyDescent="0.25">
      <c r="C4" s="397"/>
      <c r="D4" s="387"/>
      <c r="E4" s="387"/>
      <c r="F4" s="387"/>
      <c r="G4" s="387"/>
      <c r="H4" s="387"/>
    </row>
    <row r="5" spans="2:18" ht="150" customHeight="1" x14ac:dyDescent="0.25">
      <c r="B5" s="860"/>
      <c r="C5" s="861"/>
      <c r="D5" s="862" t="s">
        <v>1235</v>
      </c>
      <c r="E5" s="863" t="s">
        <v>1282</v>
      </c>
      <c r="F5" s="407"/>
      <c r="G5" s="407"/>
    </row>
    <row r="6" spans="2:18" ht="15.75" x14ac:dyDescent="0.25">
      <c r="B6" s="405"/>
      <c r="C6" s="406"/>
      <c r="D6" s="852" t="s">
        <v>343</v>
      </c>
      <c r="E6" s="852" t="s">
        <v>585</v>
      </c>
      <c r="F6" s="408"/>
      <c r="G6" s="408"/>
    </row>
    <row r="7" spans="2:18" ht="15" customHeight="1" x14ac:dyDescent="0.25">
      <c r="B7" s="392" t="s">
        <v>343</v>
      </c>
      <c r="C7" s="403" t="s">
        <v>1236</v>
      </c>
      <c r="D7" s="409">
        <v>0</v>
      </c>
      <c r="E7" s="409">
        <v>0</v>
      </c>
      <c r="F7" s="396"/>
      <c r="G7" s="396"/>
    </row>
    <row r="8" spans="2:18" ht="17.25" customHeight="1" x14ac:dyDescent="0.25">
      <c r="B8" s="410"/>
      <c r="C8" s="411"/>
    </row>
    <row r="10" spans="2:18" ht="14.25" x14ac:dyDescent="0.25">
      <c r="B10" s="412"/>
      <c r="C10" s="413"/>
      <c r="D10" s="413"/>
      <c r="E10" s="413"/>
      <c r="F10" s="413"/>
      <c r="G10" s="413"/>
      <c r="H10" s="413"/>
    </row>
    <row r="11" spans="2:18" x14ac:dyDescent="0.25">
      <c r="C11" s="404"/>
    </row>
  </sheetData>
  <conditionalFormatting sqref="D3:G7">
    <cfRule type="cellIs" dxfId="2" priority="1" stopIfTrue="1" operator="lessThan">
      <formula>0</formula>
    </cfRule>
  </conditionalFormatting>
  <hyperlinks>
    <hyperlink ref="B2" location="Indhold!B68" display="Skema EU AE3 – Behæftelseskilder" xr:uid="{BCC74852-DCFB-4444-BD12-8C9C867CD548}"/>
  </hyperlinks>
  <pageMargins left="0.70866141732283472" right="0.70866141732283472" top="0.74803149606299213" bottom="0.74803149606299213" header="0.31496062992125984" footer="0.31496062992125984"/>
  <pageSetup paperSize="9" orientation="landscape" r:id="rId1"/>
  <headerFooter>
    <oddHeader>&amp;CDA
Bilag XXXV</oddHeader>
    <oddFooter>&amp;C&amp;P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2B7CA-8A7F-4F4D-80D2-9B48895DBF33}">
  <sheetPr>
    <tabColor rgb="FFFF0000"/>
  </sheetPr>
  <dimension ref="A2:D7"/>
  <sheetViews>
    <sheetView showGridLines="0" zoomScaleNormal="100" workbookViewId="0">
      <selection activeCell="A2" sqref="A2"/>
    </sheetView>
  </sheetViews>
  <sheetFormatPr defaultRowHeight="15" x14ac:dyDescent="0.25"/>
  <cols>
    <col min="1" max="1" width="4.5703125" customWidth="1"/>
    <col min="2" max="2" width="68.140625" customWidth="1"/>
    <col min="3" max="3" width="21.140625" customWidth="1"/>
    <col min="4" max="4" width="32.140625" customWidth="1"/>
  </cols>
  <sheetData>
    <row r="2" spans="1:4" x14ac:dyDescent="0.25">
      <c r="A2" s="866" t="s">
        <v>104</v>
      </c>
    </row>
    <row r="5" spans="1:4" x14ac:dyDescent="0.25">
      <c r="B5" s="34"/>
      <c r="C5" s="16" t="s">
        <v>103</v>
      </c>
      <c r="D5" s="16" t="s">
        <v>102</v>
      </c>
    </row>
    <row r="6" spans="1:4" x14ac:dyDescent="0.25">
      <c r="B6" s="34"/>
      <c r="C6" s="16" t="s">
        <v>101</v>
      </c>
      <c r="D6" s="16" t="s">
        <v>100</v>
      </c>
    </row>
    <row r="7" spans="1:4" ht="30" x14ac:dyDescent="0.25">
      <c r="A7" s="16">
        <v>1</v>
      </c>
      <c r="B7" s="33" t="s">
        <v>99</v>
      </c>
      <c r="C7" s="16"/>
      <c r="D7" s="16"/>
    </row>
  </sheetData>
  <hyperlinks>
    <hyperlink ref="A2" location="Indhold!B71" display="Skema EU INS1 – Forsikringsinteresser" xr:uid="{26C62F76-6326-4FC7-B4FE-E81F2E47E68E}"/>
  </hyperlinks>
  <pageMargins left="0.70866141732283472" right="0.70866141732283472" top="0.74803149606299213" bottom="0.74803149606299213" header="0.31496062992125984" footer="0.31496062992125984"/>
  <pageSetup paperSize="9" orientation="landscape" r:id="rId1"/>
  <headerFooter>
    <oddHeader>&amp;CDA
Bilag I</oddHeader>
    <oddFooter>&amp;C&amp;P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FAF0F-3E69-41E4-90F9-7234A0C0230D}">
  <sheetPr>
    <tabColor rgb="FFFF0000"/>
  </sheetPr>
  <dimension ref="A3:C10"/>
  <sheetViews>
    <sheetView showGridLines="0" zoomScaleNormal="100" workbookViewId="0">
      <selection activeCell="A3" sqref="A3"/>
    </sheetView>
  </sheetViews>
  <sheetFormatPr defaultRowHeight="15" x14ac:dyDescent="0.25"/>
  <cols>
    <col min="1" max="1" width="6.140625" customWidth="1"/>
    <col min="2" max="2" width="74.140625" customWidth="1"/>
    <col min="3" max="3" width="19.140625" customWidth="1"/>
  </cols>
  <sheetData>
    <row r="3" spans="1:3" x14ac:dyDescent="0.25">
      <c r="A3" s="866" t="s">
        <v>108</v>
      </c>
    </row>
    <row r="7" spans="1:3" x14ac:dyDescent="0.25">
      <c r="C7" s="16" t="s">
        <v>103</v>
      </c>
    </row>
    <row r="8" spans="1:3" x14ac:dyDescent="0.25">
      <c r="A8" s="37"/>
      <c r="B8" s="36"/>
      <c r="C8" s="16" t="s">
        <v>107</v>
      </c>
    </row>
    <row r="9" spans="1:3" ht="15.75" customHeight="1" x14ac:dyDescent="0.25">
      <c r="A9" s="16">
        <v>1</v>
      </c>
      <c r="B9" s="35" t="s">
        <v>106</v>
      </c>
      <c r="C9" s="16"/>
    </row>
    <row r="10" spans="1:3" x14ac:dyDescent="0.25">
      <c r="A10" s="16">
        <v>2</v>
      </c>
      <c r="B10" s="35" t="s">
        <v>105</v>
      </c>
      <c r="C10" s="16"/>
    </row>
  </sheetData>
  <hyperlinks>
    <hyperlink ref="A3" location="Indhold!B72" display="Skema EU INS2 – Finansielle konglomerater — Oplysninger om kapitalgrundlag og kapitalprocent" xr:uid="{1ED15F92-4EA2-407D-9DAB-EA141B4C120B}"/>
  </hyperlinks>
  <pageMargins left="0.70866141732283472" right="0.70866141732283472" top="0.74803149606299213" bottom="0.74803149606299213" header="0.31496062992125984" footer="0.31496062992125984"/>
  <pageSetup paperSize="9" orientation="landscape" r:id="rId1"/>
  <headerFooter>
    <oddHeader>&amp;CDA
Bilag I</oddHeader>
    <oddFooter>&amp;C&amp;P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1B8D9-E7C8-464B-839B-A5F710E8B492}">
  <sheetPr>
    <tabColor rgb="FFFF0000"/>
    <pageSetUpPr fitToPage="1"/>
  </sheetPr>
  <dimension ref="A2:M19"/>
  <sheetViews>
    <sheetView showGridLines="0" zoomScaleNormal="100" workbookViewId="0">
      <selection activeCell="B2" sqref="B2"/>
    </sheetView>
  </sheetViews>
  <sheetFormatPr defaultColWidth="11.42578125" defaultRowHeight="15" x14ac:dyDescent="0.25"/>
  <cols>
    <col min="1" max="1" width="4" customWidth="1"/>
    <col min="2" max="2" width="19.28515625" customWidth="1"/>
    <col min="3" max="3" width="5.42578125" customWidth="1"/>
    <col min="4" max="4" width="6.42578125" customWidth="1"/>
    <col min="5" max="5" width="8" customWidth="1"/>
    <col min="6" max="6" width="5.28515625" customWidth="1"/>
    <col min="7" max="7" width="9.7109375" customWidth="1"/>
    <col min="8" max="8" width="10.42578125" customWidth="1"/>
    <col min="9" max="9" width="10.7109375" customWidth="1"/>
    <col min="10" max="10" width="12.140625" customWidth="1"/>
    <col min="11" max="11" width="9.28515625" customWidth="1"/>
    <col min="12" max="12" width="12.140625" customWidth="1"/>
  </cols>
  <sheetData>
    <row r="2" spans="1:13" x14ac:dyDescent="0.25">
      <c r="B2" s="866" t="s">
        <v>176</v>
      </c>
    </row>
    <row r="3" spans="1:13" x14ac:dyDescent="0.25">
      <c r="B3" s="62" t="s">
        <v>177</v>
      </c>
    </row>
    <row r="4" spans="1:13" x14ac:dyDescent="0.25">
      <c r="A4" s="63"/>
    </row>
    <row r="5" spans="1:13" x14ac:dyDescent="0.25">
      <c r="A5" s="64"/>
      <c r="B5" s="65"/>
      <c r="C5" s="66" t="s">
        <v>103</v>
      </c>
      <c r="D5" s="66" t="s">
        <v>102</v>
      </c>
      <c r="E5" s="66" t="s">
        <v>97</v>
      </c>
      <c r="F5" s="66" t="s">
        <v>96</v>
      </c>
      <c r="G5" s="66" t="s">
        <v>95</v>
      </c>
      <c r="H5" s="67" t="s">
        <v>178</v>
      </c>
      <c r="I5" s="67" t="s">
        <v>179</v>
      </c>
      <c r="J5" s="66" t="s">
        <v>111</v>
      </c>
      <c r="K5" s="66" t="s">
        <v>112</v>
      </c>
      <c r="L5" s="66" t="s">
        <v>164</v>
      </c>
      <c r="M5" s="15"/>
    </row>
    <row r="6" spans="1:13" ht="42.2" customHeight="1" x14ac:dyDescent="0.25">
      <c r="A6" s="64"/>
      <c r="B6" s="65"/>
      <c r="C6" s="1209" t="s">
        <v>180</v>
      </c>
      <c r="D6" s="1210"/>
      <c r="E6" s="1210"/>
      <c r="F6" s="1210"/>
      <c r="G6" s="1211"/>
      <c r="H6" s="1212" t="s">
        <v>1246</v>
      </c>
      <c r="I6" s="1213"/>
      <c r="J6" s="1214" t="s">
        <v>1247</v>
      </c>
      <c r="K6" s="68"/>
      <c r="L6" s="69"/>
      <c r="M6" s="15"/>
    </row>
    <row r="7" spans="1:13" ht="67.5" x14ac:dyDescent="0.25">
      <c r="A7" s="64"/>
      <c r="B7" s="70" t="s">
        <v>181</v>
      </c>
      <c r="C7" s="66" t="s">
        <v>182</v>
      </c>
      <c r="D7" s="66" t="s">
        <v>183</v>
      </c>
      <c r="E7" s="66" t="s">
        <v>184</v>
      </c>
      <c r="F7" s="66" t="s">
        <v>185</v>
      </c>
      <c r="G7" s="66" t="s">
        <v>186</v>
      </c>
      <c r="H7" s="67" t="s">
        <v>187</v>
      </c>
      <c r="I7" s="67" t="s">
        <v>1248</v>
      </c>
      <c r="J7" s="1215"/>
      <c r="K7" s="67" t="s">
        <v>1249</v>
      </c>
      <c r="L7" s="67" t="s">
        <v>1250</v>
      </c>
      <c r="M7" s="15"/>
    </row>
    <row r="8" spans="1:13" ht="26.25" customHeight="1" x14ac:dyDescent="0.25">
      <c r="A8" s="66">
        <v>1</v>
      </c>
      <c r="B8" s="70" t="s">
        <v>188</v>
      </c>
      <c r="C8" s="71">
        <v>0</v>
      </c>
      <c r="D8" s="71">
        <v>0</v>
      </c>
      <c r="E8" s="71">
        <v>0</v>
      </c>
      <c r="F8" s="71">
        <v>0</v>
      </c>
      <c r="G8" s="71">
        <v>0</v>
      </c>
      <c r="H8" s="71">
        <v>0</v>
      </c>
      <c r="I8" s="71">
        <v>0</v>
      </c>
      <c r="J8" s="71">
        <v>0</v>
      </c>
      <c r="K8" s="71">
        <v>0</v>
      </c>
      <c r="L8" s="71">
        <v>0</v>
      </c>
      <c r="M8" s="15"/>
    </row>
    <row r="9" spans="1:13" ht="26.25" customHeight="1" x14ac:dyDescent="0.25">
      <c r="A9" s="72">
        <v>2</v>
      </c>
      <c r="B9" s="73" t="s">
        <v>1</v>
      </c>
      <c r="C9" s="74"/>
      <c r="D9" s="74"/>
      <c r="E9" s="74"/>
      <c r="F9" s="74"/>
      <c r="G9" s="74"/>
      <c r="H9" s="71">
        <v>0</v>
      </c>
      <c r="I9" s="71">
        <v>0</v>
      </c>
      <c r="J9" s="75"/>
      <c r="K9" s="74"/>
      <c r="L9" s="74"/>
      <c r="M9" s="15"/>
    </row>
    <row r="10" spans="1:13" ht="22.5" x14ac:dyDescent="0.25">
      <c r="A10" s="66">
        <v>3</v>
      </c>
      <c r="B10" s="76" t="s">
        <v>189</v>
      </c>
      <c r="C10" s="71">
        <v>0</v>
      </c>
      <c r="D10" s="71">
        <v>0</v>
      </c>
      <c r="E10" s="71">
        <v>0</v>
      </c>
      <c r="F10" s="71">
        <v>0</v>
      </c>
      <c r="G10" s="71">
        <v>0</v>
      </c>
      <c r="H10" s="71">
        <v>0</v>
      </c>
      <c r="I10" s="71">
        <v>0</v>
      </c>
      <c r="J10" s="71">
        <v>0</v>
      </c>
      <c r="K10" s="71">
        <v>0</v>
      </c>
      <c r="L10" s="71">
        <v>0</v>
      </c>
      <c r="M10" s="15"/>
    </row>
    <row r="11" spans="1:13" x14ac:dyDescent="0.25">
      <c r="A11" s="66">
        <v>4</v>
      </c>
      <c r="B11" s="76" t="s">
        <v>190</v>
      </c>
      <c r="C11" s="71">
        <v>0</v>
      </c>
      <c r="D11" s="71">
        <v>0</v>
      </c>
      <c r="E11" s="71">
        <v>0</v>
      </c>
      <c r="F11" s="71">
        <v>0</v>
      </c>
      <c r="G11" s="71">
        <v>0</v>
      </c>
      <c r="H11" s="71">
        <v>0</v>
      </c>
      <c r="I11" s="71">
        <v>0</v>
      </c>
      <c r="J11" s="71">
        <v>0</v>
      </c>
      <c r="K11" s="71">
        <v>0</v>
      </c>
      <c r="L11" s="71">
        <v>0</v>
      </c>
      <c r="M11" s="15"/>
    </row>
    <row r="12" spans="1:13" x14ac:dyDescent="0.25">
      <c r="A12" s="66">
        <v>5</v>
      </c>
      <c r="B12" s="76" t="s">
        <v>191</v>
      </c>
      <c r="C12" s="71">
        <v>0</v>
      </c>
      <c r="D12" s="71">
        <v>0</v>
      </c>
      <c r="E12" s="71">
        <v>0</v>
      </c>
      <c r="F12" s="71">
        <v>0</v>
      </c>
      <c r="G12" s="71">
        <v>0</v>
      </c>
      <c r="H12" s="71">
        <v>0</v>
      </c>
      <c r="I12" s="71">
        <v>0</v>
      </c>
      <c r="J12" s="71">
        <v>0</v>
      </c>
      <c r="K12" s="71">
        <v>0</v>
      </c>
      <c r="L12" s="71">
        <v>0</v>
      </c>
      <c r="M12" s="15"/>
    </row>
    <row r="13" spans="1:13" x14ac:dyDescent="0.25">
      <c r="A13" s="66">
        <v>6</v>
      </c>
      <c r="B13" s="76" t="s">
        <v>192</v>
      </c>
      <c r="C13" s="71">
        <v>0</v>
      </c>
      <c r="D13" s="71">
        <v>0</v>
      </c>
      <c r="E13" s="71">
        <v>0</v>
      </c>
      <c r="F13" s="71">
        <v>0</v>
      </c>
      <c r="G13" s="71">
        <v>0</v>
      </c>
      <c r="H13" s="71">
        <v>0</v>
      </c>
      <c r="I13" s="71">
        <v>0</v>
      </c>
      <c r="J13" s="71">
        <v>0</v>
      </c>
      <c r="K13" s="71">
        <v>0</v>
      </c>
      <c r="L13" s="71">
        <v>0</v>
      </c>
      <c r="M13" s="15"/>
    </row>
    <row r="14" spans="1:13" x14ac:dyDescent="0.25">
      <c r="A14" s="66">
        <v>7</v>
      </c>
      <c r="B14" s="76" t="s">
        <v>193</v>
      </c>
      <c r="C14" s="71">
        <v>0</v>
      </c>
      <c r="D14" s="71">
        <v>0</v>
      </c>
      <c r="E14" s="71">
        <v>0</v>
      </c>
      <c r="F14" s="71">
        <v>0</v>
      </c>
      <c r="G14" s="71">
        <v>0</v>
      </c>
      <c r="H14" s="71">
        <v>0</v>
      </c>
      <c r="I14" s="71">
        <v>0</v>
      </c>
      <c r="J14" s="71">
        <v>0</v>
      </c>
      <c r="K14" s="71">
        <v>0</v>
      </c>
      <c r="L14" s="71">
        <v>0</v>
      </c>
      <c r="M14" s="15"/>
    </row>
    <row r="15" spans="1:13" ht="26.25" customHeight="1" x14ac:dyDescent="0.25">
      <c r="A15" s="77">
        <v>8</v>
      </c>
      <c r="B15" s="73" t="s">
        <v>1</v>
      </c>
      <c r="C15" s="78"/>
      <c r="D15" s="78"/>
      <c r="E15" s="78"/>
      <c r="F15" s="78"/>
      <c r="G15" s="78"/>
      <c r="H15" s="78"/>
      <c r="I15" s="78"/>
      <c r="J15" s="79"/>
      <c r="K15" s="78"/>
      <c r="L15" s="78"/>
      <c r="M15" s="15"/>
    </row>
    <row r="16" spans="1:13" ht="26.25" customHeight="1" x14ac:dyDescent="0.25">
      <c r="A16" s="77">
        <v>9</v>
      </c>
      <c r="B16" s="73" t="s">
        <v>1</v>
      </c>
      <c r="C16" s="78"/>
      <c r="D16" s="78"/>
      <c r="E16" s="78"/>
      <c r="F16" s="78"/>
      <c r="G16" s="78"/>
      <c r="H16" s="78"/>
      <c r="I16" s="78"/>
      <c r="J16" s="79"/>
      <c r="K16" s="78"/>
      <c r="L16" s="78"/>
      <c r="M16" s="15"/>
    </row>
    <row r="17" spans="1:13" ht="22.5" x14ac:dyDescent="0.25">
      <c r="A17" s="66">
        <v>10</v>
      </c>
      <c r="B17" s="76" t="s">
        <v>1251</v>
      </c>
      <c r="C17" s="71">
        <v>0</v>
      </c>
      <c r="D17" s="71">
        <v>0</v>
      </c>
      <c r="E17" s="71">
        <v>0</v>
      </c>
      <c r="F17" s="71">
        <v>0</v>
      </c>
      <c r="G17" s="71">
        <v>0</v>
      </c>
      <c r="H17" s="71">
        <v>0</v>
      </c>
      <c r="I17" s="71">
        <v>0</v>
      </c>
      <c r="J17" s="71">
        <v>0</v>
      </c>
      <c r="K17" s="71">
        <v>0</v>
      </c>
      <c r="L17" s="71">
        <v>0</v>
      </c>
      <c r="M17" s="15"/>
    </row>
    <row r="18" spans="1:13" ht="26.25" customHeight="1" x14ac:dyDescent="0.25">
      <c r="A18" s="77">
        <v>11</v>
      </c>
      <c r="B18" s="73" t="s">
        <v>1</v>
      </c>
      <c r="C18" s="78"/>
      <c r="D18" s="78"/>
      <c r="E18" s="78"/>
      <c r="F18" s="78"/>
      <c r="G18" s="78"/>
      <c r="H18" s="78"/>
      <c r="I18" s="78"/>
      <c r="J18" s="79"/>
      <c r="K18" s="78"/>
      <c r="L18" s="78"/>
      <c r="M18" s="15"/>
    </row>
    <row r="19" spans="1:13" ht="33.75" x14ac:dyDescent="0.25">
      <c r="A19" s="66">
        <v>12</v>
      </c>
      <c r="B19" s="80" t="s">
        <v>194</v>
      </c>
      <c r="C19" s="81"/>
      <c r="D19" s="81"/>
      <c r="E19" s="81"/>
      <c r="F19" s="81"/>
      <c r="G19" s="81"/>
      <c r="H19" s="81"/>
      <c r="I19" s="81"/>
      <c r="J19" s="82">
        <v>0</v>
      </c>
      <c r="K19" s="83">
        <v>0</v>
      </c>
      <c r="L19" s="83">
        <v>0</v>
      </c>
      <c r="M19" s="15"/>
    </row>
  </sheetData>
  <mergeCells count="3">
    <mergeCell ref="C6:G6"/>
    <mergeCell ref="H6:I6"/>
    <mergeCell ref="J6:J7"/>
  </mergeCells>
  <hyperlinks>
    <hyperlink ref="B2" location="Indhold!B73" display="Skema EU PV1 – Justeringer som følge af forsigtig værdiansættelse (PVA)" xr:uid="{4CDA8026-6C21-4641-B980-76A036EDAFDD}"/>
  </hyperlinks>
  <pageMargins left="0.70866141732283472" right="0.70866141732283472" top="0.74803149606299213" bottom="0.74803149606299213" header="0.31496062992125984" footer="0.31496062992125984"/>
  <pageSetup paperSize="9" orientation="landscape" r:id="rId1"/>
  <headerFooter>
    <oddHeader>&amp;CDA
Bilag 5</oddHeader>
    <oddFooter>&amp;C&amp;P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D52EB-1349-4A8B-B55B-2C56D1F238F2}">
  <sheetPr>
    <tabColor rgb="FFFF0000"/>
  </sheetPr>
  <dimension ref="A3:O18"/>
  <sheetViews>
    <sheetView showGridLines="0" zoomScaleNormal="100" workbookViewId="0">
      <selection activeCell="B3" sqref="B3"/>
    </sheetView>
  </sheetViews>
  <sheetFormatPr defaultColWidth="9.140625" defaultRowHeight="15" x14ac:dyDescent="0.25"/>
  <cols>
    <col min="1" max="1" width="4.5703125" customWidth="1"/>
    <col min="2" max="2" width="16" customWidth="1"/>
    <col min="3" max="3" width="18.5703125" customWidth="1"/>
    <col min="4" max="4" width="15.5703125" customWidth="1"/>
    <col min="5" max="5" width="22.5703125" customWidth="1"/>
    <col min="6" max="6" width="21" customWidth="1"/>
    <col min="7" max="7" width="14.42578125" customWidth="1"/>
    <col min="8" max="8" width="11" customWidth="1"/>
    <col min="9" max="9" width="14" customWidth="1"/>
    <col min="10" max="10" width="25.85546875" bestFit="1" customWidth="1"/>
    <col min="11" max="11" width="27.85546875" customWidth="1"/>
    <col min="13" max="13" width="13.140625" customWidth="1"/>
    <col min="14" max="14" width="11.42578125" customWidth="1"/>
    <col min="15" max="15" width="14.5703125" customWidth="1"/>
  </cols>
  <sheetData>
    <row r="3" spans="1:15" x14ac:dyDescent="0.25">
      <c r="B3" s="866" t="s">
        <v>322</v>
      </c>
    </row>
    <row r="4" spans="1:15" ht="18.75" x14ac:dyDescent="0.25">
      <c r="B4" s="40"/>
    </row>
    <row r="6" spans="1:15" x14ac:dyDescent="0.25">
      <c r="A6" s="15"/>
      <c r="B6" s="15"/>
      <c r="C6" s="103" t="s">
        <v>103</v>
      </c>
      <c r="D6" s="103" t="s">
        <v>102</v>
      </c>
      <c r="E6" s="103" t="s">
        <v>97</v>
      </c>
      <c r="F6" s="103" t="s">
        <v>96</v>
      </c>
      <c r="G6" s="103" t="s">
        <v>95</v>
      </c>
      <c r="H6" s="103" t="s">
        <v>111</v>
      </c>
      <c r="I6" s="103" t="s">
        <v>112</v>
      </c>
      <c r="J6" s="103" t="s">
        <v>164</v>
      </c>
      <c r="K6" s="103" t="s">
        <v>323</v>
      </c>
      <c r="L6" s="103" t="s">
        <v>324</v>
      </c>
      <c r="M6" s="103" t="s">
        <v>325</v>
      </c>
      <c r="N6" s="103" t="s">
        <v>326</v>
      </c>
      <c r="O6" s="103" t="s">
        <v>327</v>
      </c>
    </row>
    <row r="7" spans="1:15" ht="15.75" customHeight="1" x14ac:dyDescent="0.25">
      <c r="A7" s="15"/>
      <c r="B7" s="15"/>
      <c r="C7" s="1219" t="s">
        <v>328</v>
      </c>
      <c r="D7" s="1220"/>
      <c r="E7" s="1219" t="s">
        <v>329</v>
      </c>
      <c r="F7" s="1220"/>
      <c r="G7" s="1216" t="s">
        <v>330</v>
      </c>
      <c r="H7" s="1216" t="s">
        <v>331</v>
      </c>
      <c r="I7" s="1219" t="s">
        <v>332</v>
      </c>
      <c r="J7" s="1223"/>
      <c r="K7" s="1223"/>
      <c r="L7" s="1220"/>
      <c r="M7" s="1216" t="s">
        <v>333</v>
      </c>
      <c r="N7" s="1216" t="s">
        <v>334</v>
      </c>
      <c r="O7" s="1216" t="s">
        <v>335</v>
      </c>
    </row>
    <row r="8" spans="1:15" x14ac:dyDescent="0.25">
      <c r="A8" s="15"/>
      <c r="B8" s="15"/>
      <c r="C8" s="1221"/>
      <c r="D8" s="1222"/>
      <c r="E8" s="1221"/>
      <c r="F8" s="1222"/>
      <c r="G8" s="1217"/>
      <c r="H8" s="1217"/>
      <c r="I8" s="1221"/>
      <c r="J8" s="1224"/>
      <c r="K8" s="1224"/>
      <c r="L8" s="1225"/>
      <c r="M8" s="1217"/>
      <c r="N8" s="1217"/>
      <c r="O8" s="1217"/>
    </row>
    <row r="9" spans="1:15" ht="60" x14ac:dyDescent="0.25">
      <c r="A9" s="15"/>
      <c r="B9" s="15"/>
      <c r="C9" s="103" t="s">
        <v>336</v>
      </c>
      <c r="D9" s="103" t="s">
        <v>337</v>
      </c>
      <c r="E9" s="103" t="s">
        <v>338</v>
      </c>
      <c r="F9" s="103" t="s">
        <v>339</v>
      </c>
      <c r="G9" s="1218"/>
      <c r="H9" s="1218"/>
      <c r="I9" s="104" t="s">
        <v>340</v>
      </c>
      <c r="J9" s="104" t="s">
        <v>329</v>
      </c>
      <c r="K9" s="104" t="s">
        <v>341</v>
      </c>
      <c r="L9" s="105" t="s">
        <v>342</v>
      </c>
      <c r="M9" s="1218"/>
      <c r="N9" s="1218"/>
      <c r="O9" s="1218"/>
    </row>
    <row r="10" spans="1:15" ht="24" x14ac:dyDescent="0.25">
      <c r="A10" s="106" t="s">
        <v>343</v>
      </c>
      <c r="B10" s="107" t="s">
        <v>344</v>
      </c>
      <c r="C10" s="108"/>
      <c r="D10" s="108"/>
      <c r="E10" s="108"/>
      <c r="F10" s="108"/>
      <c r="G10" s="108"/>
      <c r="H10" s="108"/>
      <c r="I10" s="108"/>
      <c r="J10" s="108"/>
      <c r="K10" s="108"/>
      <c r="L10" s="108"/>
      <c r="M10" s="108"/>
      <c r="N10" s="109"/>
      <c r="O10" s="109"/>
    </row>
    <row r="11" spans="1:15" x14ac:dyDescent="0.25">
      <c r="A11" s="110"/>
      <c r="B11" s="111" t="s">
        <v>345</v>
      </c>
      <c r="C11" s="112"/>
      <c r="D11" s="112"/>
      <c r="E11" s="112"/>
      <c r="F11" s="112"/>
      <c r="G11" s="112"/>
      <c r="H11" s="113"/>
      <c r="I11" s="112"/>
      <c r="J11" s="112"/>
      <c r="K11" s="112"/>
      <c r="L11" s="112"/>
      <c r="M11" s="113"/>
      <c r="N11" s="112"/>
      <c r="O11" s="112"/>
    </row>
    <row r="12" spans="1:15" x14ac:dyDescent="0.25">
      <c r="A12" s="110"/>
      <c r="B12" s="111" t="s">
        <v>346</v>
      </c>
      <c r="C12" s="112"/>
      <c r="D12" s="112"/>
      <c r="E12" s="112"/>
      <c r="F12" s="112"/>
      <c r="G12" s="112"/>
      <c r="H12" s="113"/>
      <c r="I12" s="112"/>
      <c r="J12" s="112"/>
      <c r="K12" s="112"/>
      <c r="L12" s="112"/>
      <c r="M12" s="113"/>
      <c r="N12" s="112"/>
      <c r="O12" s="112"/>
    </row>
    <row r="13" spans="1:15" x14ac:dyDescent="0.25">
      <c r="A13" s="110"/>
      <c r="B13" s="114" t="s">
        <v>347</v>
      </c>
      <c r="C13" s="115"/>
      <c r="D13" s="115"/>
      <c r="E13" s="115"/>
      <c r="F13" s="115"/>
      <c r="G13" s="115"/>
      <c r="H13" s="115"/>
      <c r="I13" s="115"/>
      <c r="J13" s="115"/>
      <c r="K13" s="115"/>
      <c r="L13" s="115"/>
      <c r="M13" s="115"/>
      <c r="N13" s="115"/>
      <c r="O13" s="115"/>
    </row>
    <row r="14" spans="1:15" x14ac:dyDescent="0.25">
      <c r="A14" s="110"/>
      <c r="B14" s="114" t="s">
        <v>348</v>
      </c>
      <c r="C14" s="112"/>
      <c r="D14" s="112"/>
      <c r="E14" s="112"/>
      <c r="F14" s="112"/>
      <c r="G14" s="112"/>
      <c r="H14" s="113"/>
      <c r="I14" s="112"/>
      <c r="J14" s="112"/>
      <c r="K14" s="112"/>
      <c r="L14" s="112"/>
      <c r="M14" s="113"/>
      <c r="N14" s="112"/>
      <c r="O14" s="112"/>
    </row>
    <row r="15" spans="1:15" x14ac:dyDescent="0.25">
      <c r="A15" s="116" t="s">
        <v>349</v>
      </c>
      <c r="B15" s="114" t="s">
        <v>0</v>
      </c>
      <c r="C15" s="112"/>
      <c r="D15" s="112"/>
      <c r="E15" s="112"/>
      <c r="F15" s="112"/>
      <c r="G15" s="112"/>
      <c r="H15" s="113"/>
      <c r="I15" s="112"/>
      <c r="J15" s="112"/>
      <c r="K15" s="112"/>
      <c r="L15" s="112"/>
      <c r="M15" s="113"/>
      <c r="N15" s="112"/>
      <c r="O15" s="117"/>
    </row>
    <row r="18" spans="3:3" x14ac:dyDescent="0.25">
      <c r="C18" t="s">
        <v>350</v>
      </c>
    </row>
  </sheetData>
  <mergeCells count="8">
    <mergeCell ref="N7:N9"/>
    <mergeCell ref="O7:O9"/>
    <mergeCell ref="C7:D8"/>
    <mergeCell ref="E7:F8"/>
    <mergeCell ref="G7:G9"/>
    <mergeCell ref="H7:H9"/>
    <mergeCell ref="I7:L8"/>
    <mergeCell ref="M7:M9"/>
  </mergeCells>
  <conditionalFormatting sqref="C10:M15">
    <cfRule type="cellIs" dxfId="1" priority="1" stopIfTrue="1" operator="lessThan">
      <formula>0</formula>
    </cfRule>
  </conditionalFormatting>
  <conditionalFormatting sqref="N11:O15">
    <cfRule type="cellIs" dxfId="0" priority="2" stopIfTrue="1" operator="lessThan">
      <formula>0</formula>
    </cfRule>
  </conditionalFormatting>
  <hyperlinks>
    <hyperlink ref="B3" location="Indhold!B74" display="Skema EU-CCyB1 — Geografisk fordeling af krediteksponeringer, der er relevante for beregningen af den kontracykliske kapitalbuffer" xr:uid="{C82D85E3-482F-46AE-BC3F-7C98DCA4889B}"/>
  </hyperlinks>
  <pageMargins left="0.70866141732283472" right="0.70866141732283472" top="0.74803149606299213" bottom="0.74803149606299213" header="0.31496062992125984" footer="0.31496062992125984"/>
  <pageSetup paperSize="9" scale="50" orientation="landscape" r:id="rId1"/>
  <headerFooter>
    <oddHeader>&amp;CDA
Bilag IX</oddHeader>
    <oddFooter>&amp;C&amp;P</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46C59-CFA8-40A2-9A64-726A59FCC45B}">
  <sheetPr>
    <tabColor rgb="FFFF0000"/>
  </sheetPr>
  <dimension ref="B2:E18"/>
  <sheetViews>
    <sheetView showGridLines="0" zoomScale="110" zoomScaleNormal="110" workbookViewId="0">
      <selection activeCell="B2" sqref="B2"/>
    </sheetView>
  </sheetViews>
  <sheetFormatPr defaultRowHeight="15" x14ac:dyDescent="0.25"/>
  <cols>
    <col min="1" max="1" width="7" customWidth="1"/>
    <col min="2" max="2" width="4.7109375" customWidth="1"/>
    <col min="3" max="3" width="58.5703125" customWidth="1"/>
    <col min="4" max="4" width="27.28515625" customWidth="1"/>
    <col min="5" max="5" width="29.140625" customWidth="1"/>
    <col min="7" max="7" width="3.28515625" customWidth="1"/>
    <col min="8" max="8" width="54.5703125" customWidth="1"/>
    <col min="9" max="9" width="25" customWidth="1"/>
  </cols>
  <sheetData>
    <row r="2" spans="2:5" x14ac:dyDescent="0.25">
      <c r="B2" s="866" t="s">
        <v>627</v>
      </c>
    </row>
    <row r="3" spans="2:5" ht="16.5" thickBot="1" x14ac:dyDescent="0.3">
      <c r="B3" s="164"/>
      <c r="C3" s="164"/>
      <c r="D3" s="165"/>
      <c r="E3" s="186"/>
    </row>
    <row r="4" spans="2:5" ht="16.5" thickBot="1" x14ac:dyDescent="0.3">
      <c r="B4" s="164"/>
      <c r="C4" s="165"/>
      <c r="D4" s="167" t="s">
        <v>103</v>
      </c>
      <c r="E4" s="187" t="s">
        <v>102</v>
      </c>
    </row>
    <row r="5" spans="2:5" ht="21.75" thickBot="1" x14ac:dyDescent="0.3">
      <c r="B5" s="164"/>
      <c r="C5" s="165"/>
      <c r="D5" s="188" t="s">
        <v>620</v>
      </c>
      <c r="E5" s="187" t="s">
        <v>628</v>
      </c>
    </row>
    <row r="6" spans="2:5" ht="25.5" customHeight="1" thickBot="1" x14ac:dyDescent="0.3">
      <c r="B6" s="189" t="s">
        <v>343</v>
      </c>
      <c r="C6" s="190" t="s">
        <v>621</v>
      </c>
      <c r="D6" s="419">
        <v>0</v>
      </c>
      <c r="E6" s="420"/>
    </row>
    <row r="7" spans="2:5" ht="25.5" customHeight="1" thickBot="1" x14ac:dyDescent="0.3">
      <c r="B7" s="175" t="s">
        <v>349</v>
      </c>
      <c r="C7" s="173" t="s">
        <v>622</v>
      </c>
      <c r="D7" s="419">
        <v>0</v>
      </c>
      <c r="E7" s="420"/>
    </row>
    <row r="8" spans="2:5" ht="25.5" customHeight="1" thickBot="1" x14ac:dyDescent="0.3">
      <c r="B8" s="175" t="s">
        <v>585</v>
      </c>
      <c r="C8" s="173" t="s">
        <v>623</v>
      </c>
      <c r="D8" s="419">
        <v>0</v>
      </c>
      <c r="E8" s="420"/>
    </row>
    <row r="9" spans="2:5" ht="25.5" customHeight="1" thickBot="1" x14ac:dyDescent="0.3">
      <c r="B9" s="175" t="s">
        <v>587</v>
      </c>
      <c r="C9" s="191" t="s">
        <v>629</v>
      </c>
      <c r="D9" s="419">
        <v>0</v>
      </c>
      <c r="E9" s="420"/>
    </row>
    <row r="10" spans="2:5" ht="25.5" customHeight="1" thickBot="1" x14ac:dyDescent="0.3">
      <c r="B10" s="175" t="s">
        <v>589</v>
      </c>
      <c r="C10" s="191" t="s">
        <v>630</v>
      </c>
      <c r="D10" s="421">
        <v>0</v>
      </c>
      <c r="E10" s="422"/>
    </row>
    <row r="11" spans="2:5" ht="25.5" customHeight="1" thickBot="1" x14ac:dyDescent="0.3">
      <c r="B11" s="175" t="s">
        <v>591</v>
      </c>
      <c r="C11" s="191" t="s">
        <v>631</v>
      </c>
      <c r="D11" s="423">
        <v>0</v>
      </c>
      <c r="E11" s="424">
        <v>0</v>
      </c>
    </row>
    <row r="12" spans="2:5" ht="25.5" customHeight="1" thickBot="1" x14ac:dyDescent="0.3">
      <c r="B12" s="175" t="s">
        <v>593</v>
      </c>
      <c r="C12" s="191" t="s">
        <v>632</v>
      </c>
      <c r="D12" s="421">
        <v>0</v>
      </c>
      <c r="E12" s="424">
        <v>0</v>
      </c>
    </row>
    <row r="13" spans="2:5" ht="25.5" customHeight="1" thickBot="1" x14ac:dyDescent="0.3">
      <c r="B13" s="175" t="s">
        <v>595</v>
      </c>
      <c r="C13" s="191" t="s">
        <v>633</v>
      </c>
      <c r="D13" s="421">
        <v>0</v>
      </c>
      <c r="E13" s="424">
        <v>0</v>
      </c>
    </row>
    <row r="14" spans="2:5" ht="25.5" customHeight="1" thickBot="1" x14ac:dyDescent="0.3">
      <c r="B14" s="175" t="s">
        <v>597</v>
      </c>
      <c r="C14" s="191" t="s">
        <v>634</v>
      </c>
      <c r="D14" s="421">
        <v>0</v>
      </c>
      <c r="E14" s="424">
        <v>0</v>
      </c>
    </row>
    <row r="15" spans="2:5" ht="25.5" customHeight="1" thickBot="1" x14ac:dyDescent="0.3">
      <c r="B15" s="175" t="s">
        <v>599</v>
      </c>
      <c r="C15" s="191" t="s">
        <v>624</v>
      </c>
      <c r="D15" s="421">
        <v>0</v>
      </c>
      <c r="E15" s="420"/>
    </row>
    <row r="16" spans="2:5" ht="25.5" customHeight="1" thickBot="1" x14ac:dyDescent="0.3">
      <c r="B16" s="175" t="s">
        <v>600</v>
      </c>
      <c r="C16" s="191" t="s">
        <v>625</v>
      </c>
      <c r="D16" s="421">
        <v>0</v>
      </c>
      <c r="E16" s="420"/>
    </row>
    <row r="17" spans="2:5" ht="25.5" customHeight="1" thickBot="1" x14ac:dyDescent="0.3">
      <c r="B17" s="184" t="s">
        <v>601</v>
      </c>
      <c r="C17" s="185" t="s">
        <v>635</v>
      </c>
      <c r="D17" s="421">
        <v>0</v>
      </c>
      <c r="E17" s="425"/>
    </row>
    <row r="18" spans="2:5" ht="25.5" customHeight="1" thickBot="1" x14ac:dyDescent="0.3">
      <c r="B18" s="192" t="s">
        <v>602</v>
      </c>
      <c r="C18" s="193" t="s">
        <v>626</v>
      </c>
      <c r="D18" s="421">
        <v>0</v>
      </c>
      <c r="E18" s="420"/>
    </row>
  </sheetData>
  <hyperlinks>
    <hyperlink ref="B2" location="Indhold!B75" display="Skema EU CR2a: Ændringer i beholdningen af misligholdte lån og forskud og akkumulerede inddrevne nettobeløb i forbindelse hermed" xr:uid="{114CBBD1-E8D2-4428-AEDC-CC11BC52CEA6}"/>
  </hyperlinks>
  <pageMargins left="0.70866141732283472" right="0.70866141732283472" top="0.74803149606299213" bottom="0.74803149606299213" header="0.31496062992125984" footer="0.31496062992125984"/>
  <pageSetup paperSize="9" orientation="landscape" r:id="rId1"/>
  <headerFooter>
    <oddHeader>&amp;CDA
Bilag XV</oddHeader>
    <oddFooter>&amp;C&amp;P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3B02D-6245-4083-A0B2-5A69B3CCBA41}">
  <sheetPr>
    <tabColor rgb="FFFF0000"/>
  </sheetPr>
  <dimension ref="B2:D9"/>
  <sheetViews>
    <sheetView showGridLines="0" zoomScaleNormal="100" workbookViewId="0">
      <selection activeCell="B2" sqref="B2"/>
    </sheetView>
  </sheetViews>
  <sheetFormatPr defaultRowHeight="15" x14ac:dyDescent="0.25"/>
  <cols>
    <col min="2" max="2" width="4.28515625" customWidth="1"/>
    <col min="3" max="3" width="41.85546875" customWidth="1"/>
    <col min="4" max="4" width="49.42578125" customWidth="1"/>
  </cols>
  <sheetData>
    <row r="2" spans="2:4" x14ac:dyDescent="0.25">
      <c r="B2" s="866" t="s">
        <v>643</v>
      </c>
    </row>
    <row r="3" spans="2:4" ht="16.5" thickBot="1" x14ac:dyDescent="0.3">
      <c r="B3" s="437"/>
      <c r="C3" s="437"/>
      <c r="D3" s="165"/>
    </row>
    <row r="4" spans="2:4" ht="16.5" thickBot="1" x14ac:dyDescent="0.3">
      <c r="B4" s="166"/>
      <c r="C4" s="166"/>
      <c r="D4" s="167" t="s">
        <v>103</v>
      </c>
    </row>
    <row r="5" spans="2:4" ht="36" customHeight="1" x14ac:dyDescent="0.25">
      <c r="B5" s="166"/>
      <c r="C5" s="166"/>
      <c r="D5" s="1226" t="s">
        <v>644</v>
      </c>
    </row>
    <row r="6" spans="2:4" ht="16.5" thickBot="1" x14ac:dyDescent="0.3">
      <c r="B6" s="166"/>
      <c r="C6" s="166"/>
      <c r="D6" s="1227"/>
    </row>
    <row r="7" spans="2:4" ht="29.25" customHeight="1" thickBot="1" x14ac:dyDescent="0.3">
      <c r="B7" s="171" t="s">
        <v>343</v>
      </c>
      <c r="C7" s="172" t="s">
        <v>645</v>
      </c>
      <c r="D7" s="426">
        <v>0</v>
      </c>
    </row>
    <row r="8" spans="2:4" ht="50.25" customHeight="1" thickBot="1" x14ac:dyDescent="0.3">
      <c r="B8" s="175" t="s">
        <v>349</v>
      </c>
      <c r="C8" s="173" t="s">
        <v>646</v>
      </c>
      <c r="D8" s="426">
        <v>0</v>
      </c>
    </row>
    <row r="9" spans="2:4" ht="63" customHeight="1" x14ac:dyDescent="0.25">
      <c r="B9" s="1228"/>
      <c r="C9" s="1228"/>
      <c r="D9" s="1228"/>
    </row>
  </sheetData>
  <mergeCells count="2">
    <mergeCell ref="D5:D6"/>
    <mergeCell ref="B9:D9"/>
  </mergeCells>
  <hyperlinks>
    <hyperlink ref="B2" location="Indhold!B76" display="Skema EU CQ2: Kvalitet af kreditlempelser" xr:uid="{5C5C7A35-1513-4D9C-B20C-EC1BD9BB8F6F}"/>
  </hyperlinks>
  <pageMargins left="0.70866141732283472" right="0.70866141732283472" top="0.74803149606299213" bottom="0.74803149606299213" header="0.31496062992125984" footer="0.31496062992125984"/>
  <pageSetup paperSize="9" orientation="landscape" r:id="rId1"/>
  <headerFooter>
    <oddHeader>&amp;CDA
Bilag XV</oddHeader>
    <oddFooter>&amp;C&amp;P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3B57B-3685-4687-B72A-C81E438698AF}">
  <sheetPr>
    <tabColor rgb="FFFF0000"/>
  </sheetPr>
  <dimension ref="B2:K24"/>
  <sheetViews>
    <sheetView showGridLines="0" zoomScaleNormal="100" workbookViewId="0">
      <selection activeCell="B2" sqref="B2"/>
    </sheetView>
  </sheetViews>
  <sheetFormatPr defaultRowHeight="15" x14ac:dyDescent="0.25"/>
  <cols>
    <col min="2" max="2" width="4.28515625" customWidth="1"/>
    <col min="3" max="3" width="14.7109375" customWidth="1"/>
    <col min="8" max="8" width="12.42578125" customWidth="1"/>
    <col min="9" max="9" width="16" customWidth="1"/>
    <col min="10" max="10" width="10.85546875" customWidth="1"/>
    <col min="11" max="11" width="6.7109375" customWidth="1"/>
  </cols>
  <sheetData>
    <row r="2" spans="2:11" x14ac:dyDescent="0.25">
      <c r="B2" s="866" t="s">
        <v>728</v>
      </c>
    </row>
    <row r="3" spans="2:11" ht="15.75" x14ac:dyDescent="0.25">
      <c r="B3" s="164"/>
      <c r="C3" s="164"/>
      <c r="D3" s="165"/>
      <c r="E3" s="165"/>
      <c r="H3" s="165"/>
      <c r="I3" s="165"/>
      <c r="J3" s="195"/>
      <c r="K3" s="165"/>
    </row>
    <row r="4" spans="2:11" ht="16.5" thickBot="1" x14ac:dyDescent="0.3">
      <c r="B4" s="164"/>
      <c r="C4" s="165"/>
      <c r="D4" s="165"/>
      <c r="E4" s="165"/>
      <c r="F4" s="1235"/>
      <c r="G4" s="1235"/>
      <c r="H4" s="165"/>
      <c r="I4" s="165"/>
      <c r="J4" s="195"/>
      <c r="K4" s="165"/>
    </row>
    <row r="5" spans="2:11" ht="16.5" thickBot="1" x14ac:dyDescent="0.3">
      <c r="B5" s="166"/>
      <c r="C5" s="166"/>
      <c r="D5" s="167" t="s">
        <v>103</v>
      </c>
      <c r="E5" s="168" t="s">
        <v>102</v>
      </c>
      <c r="F5" s="168" t="s">
        <v>97</v>
      </c>
      <c r="G5" s="168" t="s">
        <v>96</v>
      </c>
      <c r="H5" s="168" t="s">
        <v>95</v>
      </c>
      <c r="I5" s="168" t="s">
        <v>657</v>
      </c>
      <c r="J5" s="1236" t="s">
        <v>112</v>
      </c>
      <c r="K5" s="1237"/>
    </row>
    <row r="6" spans="2:11" ht="84" customHeight="1" thickBot="1" x14ac:dyDescent="0.3">
      <c r="B6" s="166"/>
      <c r="C6" s="166"/>
      <c r="D6" s="1238" t="s">
        <v>571</v>
      </c>
      <c r="E6" s="1239"/>
      <c r="F6" s="1239"/>
      <c r="G6" s="1240"/>
      <c r="H6" s="1241" t="s">
        <v>1259</v>
      </c>
      <c r="I6" s="1226" t="s">
        <v>658</v>
      </c>
      <c r="J6" s="1238" t="s">
        <v>659</v>
      </c>
      <c r="K6" s="1241"/>
    </row>
    <row r="7" spans="2:11" ht="49.5" customHeight="1" thickBot="1" x14ac:dyDescent="0.3">
      <c r="B7" s="196"/>
      <c r="C7" s="196"/>
      <c r="D7" s="197"/>
      <c r="E7" s="1238" t="s">
        <v>660</v>
      </c>
      <c r="F7" s="1241"/>
      <c r="G7" s="1247" t="s">
        <v>1258</v>
      </c>
      <c r="H7" s="1242"/>
      <c r="I7" s="1243"/>
      <c r="J7" s="1244"/>
      <c r="K7" s="1242"/>
    </row>
    <row r="8" spans="2:11" ht="15.75" x14ac:dyDescent="0.25">
      <c r="B8" s="166"/>
      <c r="C8" s="166"/>
      <c r="D8" s="197"/>
      <c r="E8" s="1250"/>
      <c r="F8" s="1226" t="s">
        <v>1255</v>
      </c>
      <c r="G8" s="1248"/>
      <c r="H8" s="1252"/>
      <c r="I8" s="1243"/>
      <c r="J8" s="1244"/>
      <c r="K8" s="1242"/>
    </row>
    <row r="9" spans="2:11" ht="16.5" thickBot="1" x14ac:dyDescent="0.3">
      <c r="B9" s="166"/>
      <c r="C9" s="166"/>
      <c r="D9" s="197"/>
      <c r="E9" s="1251"/>
      <c r="F9" s="1227"/>
      <c r="G9" s="1249"/>
      <c r="H9" s="1253"/>
      <c r="I9" s="1227"/>
      <c r="J9" s="1245"/>
      <c r="K9" s="1246"/>
    </row>
    <row r="10" spans="2:11" ht="21.75" thickBot="1" x14ac:dyDescent="0.3">
      <c r="B10" s="189" t="s">
        <v>343</v>
      </c>
      <c r="C10" s="198" t="s">
        <v>661</v>
      </c>
      <c r="D10" s="427">
        <v>0</v>
      </c>
      <c r="E10" s="428">
        <v>0</v>
      </c>
      <c r="F10" s="427">
        <v>0</v>
      </c>
      <c r="G10" s="427">
        <v>0</v>
      </c>
      <c r="H10" s="427">
        <v>0</v>
      </c>
      <c r="I10" s="429"/>
      <c r="J10" s="1254">
        <v>0</v>
      </c>
      <c r="K10" s="1255"/>
    </row>
    <row r="11" spans="2:11" ht="15.75" thickBot="1" x14ac:dyDescent="0.3">
      <c r="B11" s="174" t="s">
        <v>349</v>
      </c>
      <c r="C11" s="199" t="s">
        <v>662</v>
      </c>
      <c r="D11" s="418"/>
      <c r="E11" s="418"/>
      <c r="F11" s="418"/>
      <c r="G11" s="418"/>
      <c r="H11" s="418"/>
      <c r="I11" s="430"/>
      <c r="J11" s="1233"/>
      <c r="K11" s="1234"/>
    </row>
    <row r="12" spans="2:11" ht="15.75" thickBot="1" x14ac:dyDescent="0.3">
      <c r="B12" s="174" t="s">
        <v>585</v>
      </c>
      <c r="C12" s="199" t="s">
        <v>663</v>
      </c>
      <c r="D12" s="418"/>
      <c r="E12" s="418"/>
      <c r="F12" s="418"/>
      <c r="G12" s="418"/>
      <c r="H12" s="418"/>
      <c r="I12" s="430"/>
      <c r="J12" s="1233"/>
      <c r="K12" s="1234"/>
    </row>
    <row r="13" spans="2:11" ht="15.75" thickBot="1" x14ac:dyDescent="0.3">
      <c r="B13" s="174" t="s">
        <v>587</v>
      </c>
      <c r="C13" s="199" t="s">
        <v>664</v>
      </c>
      <c r="D13" s="418"/>
      <c r="E13" s="418"/>
      <c r="F13" s="418"/>
      <c r="G13" s="418"/>
      <c r="H13" s="418"/>
      <c r="I13" s="430"/>
      <c r="J13" s="1233"/>
      <c r="K13" s="1234"/>
    </row>
    <row r="14" spans="2:11" ht="15.75" thickBot="1" x14ac:dyDescent="0.3">
      <c r="B14" s="174" t="s">
        <v>589</v>
      </c>
      <c r="C14" s="199" t="s">
        <v>665</v>
      </c>
      <c r="D14" s="418"/>
      <c r="E14" s="418"/>
      <c r="F14" s="418"/>
      <c r="G14" s="418"/>
      <c r="H14" s="418"/>
      <c r="I14" s="430"/>
      <c r="J14" s="1233"/>
      <c r="K14" s="1234"/>
    </row>
    <row r="15" spans="2:11" ht="15.75" thickBot="1" x14ac:dyDescent="0.3">
      <c r="B15" s="174" t="s">
        <v>591</v>
      </c>
      <c r="C15" s="199" t="s">
        <v>666</v>
      </c>
      <c r="D15" s="418"/>
      <c r="E15" s="418"/>
      <c r="F15" s="418"/>
      <c r="G15" s="418"/>
      <c r="H15" s="418"/>
      <c r="I15" s="430"/>
      <c r="J15" s="1233"/>
      <c r="K15" s="1234"/>
    </row>
    <row r="16" spans="2:11" ht="15.75" thickBot="1" x14ac:dyDescent="0.3">
      <c r="B16" s="174" t="s">
        <v>593</v>
      </c>
      <c r="C16" s="199" t="s">
        <v>667</v>
      </c>
      <c r="D16" s="418"/>
      <c r="E16" s="418"/>
      <c r="F16" s="418"/>
      <c r="G16" s="418"/>
      <c r="H16" s="418"/>
      <c r="I16" s="430"/>
      <c r="J16" s="1233"/>
      <c r="K16" s="1234"/>
    </row>
    <row r="17" spans="2:11" ht="21.75" thickBot="1" x14ac:dyDescent="0.3">
      <c r="B17" s="174" t="s">
        <v>595</v>
      </c>
      <c r="C17" s="176" t="s">
        <v>415</v>
      </c>
      <c r="D17" s="428">
        <v>0</v>
      </c>
      <c r="E17" s="428">
        <v>0</v>
      </c>
      <c r="F17" s="428">
        <v>0</v>
      </c>
      <c r="G17" s="431"/>
      <c r="H17" s="431"/>
      <c r="I17" s="428">
        <v>0</v>
      </c>
      <c r="J17" s="1229"/>
      <c r="K17" s="1230"/>
    </row>
    <row r="18" spans="2:11" ht="15.75" thickBot="1" x14ac:dyDescent="0.3">
      <c r="B18" s="175" t="s">
        <v>597</v>
      </c>
      <c r="C18" s="199" t="s">
        <v>662</v>
      </c>
      <c r="D18" s="418"/>
      <c r="E18" s="418"/>
      <c r="F18" s="418"/>
      <c r="G18" s="430"/>
      <c r="H18" s="430"/>
      <c r="I18" s="418"/>
      <c r="J18" s="1229"/>
      <c r="K18" s="1230"/>
    </row>
    <row r="19" spans="2:11" ht="15.75" thickBot="1" x14ac:dyDescent="0.3">
      <c r="B19" s="174" t="s">
        <v>599</v>
      </c>
      <c r="C19" s="199" t="s">
        <v>663</v>
      </c>
      <c r="D19" s="418"/>
      <c r="E19" s="418"/>
      <c r="F19" s="418"/>
      <c r="G19" s="430"/>
      <c r="H19" s="430"/>
      <c r="I19" s="418"/>
      <c r="J19" s="1229"/>
      <c r="K19" s="1230"/>
    </row>
    <row r="20" spans="2:11" ht="15.75" thickBot="1" x14ac:dyDescent="0.3">
      <c r="B20" s="174" t="s">
        <v>600</v>
      </c>
      <c r="C20" s="199" t="s">
        <v>664</v>
      </c>
      <c r="D20" s="418"/>
      <c r="E20" s="418"/>
      <c r="F20" s="418"/>
      <c r="G20" s="430"/>
      <c r="H20" s="430"/>
      <c r="I20" s="418"/>
      <c r="J20" s="1229"/>
      <c r="K20" s="1230"/>
    </row>
    <row r="21" spans="2:11" ht="15.75" thickBot="1" x14ac:dyDescent="0.3">
      <c r="B21" s="174" t="s">
        <v>601</v>
      </c>
      <c r="C21" s="199" t="s">
        <v>665</v>
      </c>
      <c r="D21" s="418"/>
      <c r="E21" s="418"/>
      <c r="F21" s="418"/>
      <c r="G21" s="430"/>
      <c r="H21" s="430"/>
      <c r="I21" s="418"/>
      <c r="J21" s="1229"/>
      <c r="K21" s="1230"/>
    </row>
    <row r="22" spans="2:11" ht="15.75" thickBot="1" x14ac:dyDescent="0.3">
      <c r="B22" s="174" t="s">
        <v>602</v>
      </c>
      <c r="C22" s="199" t="s">
        <v>666</v>
      </c>
      <c r="D22" s="418"/>
      <c r="E22" s="418"/>
      <c r="F22" s="418"/>
      <c r="G22" s="430"/>
      <c r="H22" s="430"/>
      <c r="I22" s="418"/>
      <c r="J22" s="1229"/>
      <c r="K22" s="1230"/>
    </row>
    <row r="23" spans="2:11" ht="15.75" thickBot="1" x14ac:dyDescent="0.3">
      <c r="B23" s="174" t="s">
        <v>603</v>
      </c>
      <c r="C23" s="199" t="s">
        <v>667</v>
      </c>
      <c r="D23" s="418"/>
      <c r="E23" s="418"/>
      <c r="F23" s="418"/>
      <c r="G23" s="430"/>
      <c r="H23" s="430"/>
      <c r="I23" s="418"/>
      <c r="J23" s="1229"/>
      <c r="K23" s="1230"/>
    </row>
    <row r="24" spans="2:11" ht="15.75" thickBot="1" x14ac:dyDescent="0.3">
      <c r="B24" s="192" t="s">
        <v>604</v>
      </c>
      <c r="C24" s="176" t="s">
        <v>0</v>
      </c>
      <c r="D24" s="418">
        <v>0</v>
      </c>
      <c r="E24" s="418">
        <v>0</v>
      </c>
      <c r="F24" s="418">
        <v>0</v>
      </c>
      <c r="G24" s="418">
        <v>0</v>
      </c>
      <c r="H24" s="418">
        <v>0</v>
      </c>
      <c r="I24" s="418">
        <v>0</v>
      </c>
      <c r="J24" s="1231">
        <v>0</v>
      </c>
      <c r="K24" s="1232"/>
    </row>
  </sheetData>
  <mergeCells count="26">
    <mergeCell ref="J14:K14"/>
    <mergeCell ref="F4:G4"/>
    <mergeCell ref="J5:K5"/>
    <mergeCell ref="D6:G6"/>
    <mergeCell ref="H6:H7"/>
    <mergeCell ref="I6:I9"/>
    <mergeCell ref="J6:K9"/>
    <mergeCell ref="E7:F7"/>
    <mergeCell ref="G7:G9"/>
    <mergeCell ref="E8:E9"/>
    <mergeCell ref="F8:F9"/>
    <mergeCell ref="H8:H9"/>
    <mergeCell ref="J10:K10"/>
    <mergeCell ref="J11:K11"/>
    <mergeCell ref="J12:K12"/>
    <mergeCell ref="J13:K13"/>
    <mergeCell ref="J21:K21"/>
    <mergeCell ref="J22:K22"/>
    <mergeCell ref="J23:K23"/>
    <mergeCell ref="J24:K24"/>
    <mergeCell ref="J15:K15"/>
    <mergeCell ref="J16:K16"/>
    <mergeCell ref="J17:K17"/>
    <mergeCell ref="J18:K18"/>
    <mergeCell ref="J19:K19"/>
    <mergeCell ref="J20:K20"/>
  </mergeCells>
  <hyperlinks>
    <hyperlink ref="B2" location="Indhold!B77" display="Skema EU CQ4: Kvaliteten af misligholdte eksponeringer efter geografisk placering " xr:uid="{1DBA8A8F-9842-489F-8551-6C8CCF8E49BD}"/>
  </hyperlinks>
  <pageMargins left="0.70866141732283472" right="0.70866141732283472" top="0.74803149606299213" bottom="0.74803149606299213" header="0.31496062992125984" footer="0.31496062992125984"/>
  <pageSetup paperSize="9" orientation="landscape" r:id="rId1"/>
  <headerFooter>
    <oddHeader>&amp;CDA
Bilag XV</oddHeader>
    <oddFooter>&amp;C&amp;P</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E6DBD-AF2D-4D44-B564-7E6AD1E6CB9D}">
  <sheetPr>
    <tabColor rgb="FFFF0000"/>
  </sheetPr>
  <dimension ref="A2:N22"/>
  <sheetViews>
    <sheetView showGridLines="0" zoomScaleNormal="100" workbookViewId="0">
      <selection activeCell="A2" sqref="A2"/>
    </sheetView>
  </sheetViews>
  <sheetFormatPr defaultRowHeight="15" x14ac:dyDescent="0.25"/>
  <cols>
    <col min="1" max="1" width="4.42578125" customWidth="1"/>
    <col min="2" max="2" width="25.85546875" customWidth="1"/>
    <col min="3" max="4" width="7.5703125" customWidth="1"/>
    <col min="6" max="6" width="6.7109375" customWidth="1"/>
    <col min="8" max="8" width="6.28515625" customWidth="1"/>
    <col min="12" max="12" width="8.7109375" customWidth="1"/>
    <col min="13" max="13" width="8.5703125" customWidth="1"/>
  </cols>
  <sheetData>
    <row r="2" spans="1:14" x14ac:dyDescent="0.25">
      <c r="A2" s="866" t="s">
        <v>690</v>
      </c>
    </row>
    <row r="3" spans="1:14" ht="16.5" thickBot="1" x14ac:dyDescent="0.3">
      <c r="A3" s="164"/>
      <c r="B3" s="164"/>
      <c r="C3" s="165"/>
      <c r="D3" s="165"/>
      <c r="E3" s="165"/>
      <c r="F3" s="165"/>
      <c r="G3" s="165"/>
      <c r="H3" s="165"/>
      <c r="I3" s="165"/>
      <c r="J3" s="165"/>
      <c r="K3" s="165"/>
      <c r="L3" s="165"/>
      <c r="M3" s="165"/>
      <c r="N3" s="165"/>
    </row>
    <row r="4" spans="1:14" ht="16.5" thickBot="1" x14ac:dyDescent="0.3">
      <c r="A4" s="164"/>
      <c r="B4" s="200"/>
      <c r="C4" s="201" t="s">
        <v>103</v>
      </c>
      <c r="D4" s="202" t="s">
        <v>102</v>
      </c>
      <c r="E4" s="202" t="s">
        <v>97</v>
      </c>
      <c r="F4" s="202" t="s">
        <v>96</v>
      </c>
      <c r="G4" s="202" t="s">
        <v>95</v>
      </c>
      <c r="H4" s="202" t="s">
        <v>111</v>
      </c>
      <c r="I4" s="202" t="s">
        <v>112</v>
      </c>
      <c r="J4" s="202" t="s">
        <v>164</v>
      </c>
      <c r="K4" s="202" t="s">
        <v>323</v>
      </c>
      <c r="L4" s="202" t="s">
        <v>324</v>
      </c>
      <c r="M4" s="202" t="s">
        <v>325</v>
      </c>
      <c r="N4" s="202" t="s">
        <v>326</v>
      </c>
    </row>
    <row r="5" spans="1:14" ht="21" customHeight="1" thickBot="1" x14ac:dyDescent="0.3">
      <c r="A5" s="166"/>
      <c r="B5" s="166"/>
      <c r="C5" s="203" t="s">
        <v>583</v>
      </c>
      <c r="D5" s="196"/>
      <c r="E5" s="196"/>
      <c r="F5" s="196"/>
      <c r="G5" s="196"/>
      <c r="H5" s="196"/>
      <c r="I5" s="196"/>
      <c r="J5" s="196"/>
      <c r="K5" s="196"/>
      <c r="L5" s="196"/>
      <c r="M5" s="196"/>
      <c r="N5" s="169"/>
    </row>
    <row r="6" spans="1:14" ht="23.25" customHeight="1" thickBot="1" x14ac:dyDescent="0.3">
      <c r="A6" s="166"/>
      <c r="B6" s="166"/>
      <c r="C6" s="204"/>
      <c r="D6" s="205" t="s">
        <v>691</v>
      </c>
      <c r="E6" s="206"/>
      <c r="F6" s="205" t="s">
        <v>692</v>
      </c>
      <c r="G6" s="207"/>
      <c r="H6" s="207"/>
      <c r="I6" s="207"/>
      <c r="J6" s="207"/>
      <c r="K6" s="207"/>
      <c r="L6" s="207"/>
      <c r="M6" s="207"/>
      <c r="N6" s="172"/>
    </row>
    <row r="7" spans="1:14" ht="33" customHeight="1" thickBot="1" x14ac:dyDescent="0.3">
      <c r="A7" s="166"/>
      <c r="B7" s="166"/>
      <c r="C7" s="204"/>
      <c r="D7" s="204"/>
      <c r="E7" s="208"/>
      <c r="F7" s="204"/>
      <c r="G7" s="1226" t="s">
        <v>649</v>
      </c>
      <c r="H7" s="1256" t="s">
        <v>693</v>
      </c>
      <c r="I7" s="1257"/>
      <c r="J7" s="1257"/>
      <c r="K7" s="1257"/>
      <c r="L7" s="1257"/>
      <c r="M7" s="1257"/>
      <c r="N7" s="1258"/>
    </row>
    <row r="8" spans="1:14" ht="63.75" customHeight="1" thickBot="1" x14ac:dyDescent="0.3">
      <c r="A8" s="166"/>
      <c r="B8" s="166"/>
      <c r="C8" s="204"/>
      <c r="D8" s="204"/>
      <c r="E8" s="209" t="s">
        <v>1260</v>
      </c>
      <c r="F8" s="210"/>
      <c r="G8" s="1227"/>
      <c r="H8" s="211"/>
      <c r="I8" s="170" t="s">
        <v>1261</v>
      </c>
      <c r="J8" s="170" t="s">
        <v>1262</v>
      </c>
      <c r="K8" s="170" t="s">
        <v>694</v>
      </c>
      <c r="L8" s="170" t="s">
        <v>695</v>
      </c>
      <c r="M8" s="170" t="s">
        <v>696</v>
      </c>
      <c r="N8" s="170" t="s">
        <v>1263</v>
      </c>
    </row>
    <row r="9" spans="1:14" ht="15.75" thickBot="1" x14ac:dyDescent="0.3">
      <c r="A9" s="212" t="s">
        <v>343</v>
      </c>
      <c r="B9" s="213" t="s">
        <v>669</v>
      </c>
      <c r="C9" s="417">
        <v>0</v>
      </c>
      <c r="D9" s="417">
        <v>0</v>
      </c>
      <c r="E9" s="417">
        <v>0</v>
      </c>
      <c r="F9" s="417">
        <v>0</v>
      </c>
      <c r="G9" s="417">
        <v>0</v>
      </c>
      <c r="H9" s="417">
        <v>0</v>
      </c>
      <c r="I9" s="417">
        <v>0</v>
      </c>
      <c r="J9" s="417">
        <v>0</v>
      </c>
      <c r="K9" s="417">
        <v>0</v>
      </c>
      <c r="L9" s="417">
        <v>0</v>
      </c>
      <c r="M9" s="417">
        <v>0</v>
      </c>
      <c r="N9" s="417">
        <v>0</v>
      </c>
    </row>
    <row r="10" spans="1:14" ht="15.75" thickBot="1" x14ac:dyDescent="0.3">
      <c r="A10" s="214" t="s">
        <v>349</v>
      </c>
      <c r="B10" s="215" t="s">
        <v>697</v>
      </c>
      <c r="C10" s="417">
        <v>0</v>
      </c>
      <c r="D10" s="417">
        <v>0</v>
      </c>
      <c r="E10" s="417">
        <v>0</v>
      </c>
      <c r="F10" s="417">
        <v>0</v>
      </c>
      <c r="G10" s="417">
        <v>0</v>
      </c>
      <c r="H10" s="417">
        <v>0</v>
      </c>
      <c r="I10" s="417">
        <v>0</v>
      </c>
      <c r="J10" s="417">
        <v>0</v>
      </c>
      <c r="K10" s="417">
        <v>0</v>
      </c>
      <c r="L10" s="417">
        <v>0</v>
      </c>
      <c r="M10" s="417">
        <v>0</v>
      </c>
      <c r="N10" s="417">
        <v>0</v>
      </c>
    </row>
    <row r="11" spans="1:14" ht="32.25" customHeight="1" thickBot="1" x14ac:dyDescent="0.3">
      <c r="A11" s="214" t="s">
        <v>585</v>
      </c>
      <c r="B11" s="216" t="s">
        <v>698</v>
      </c>
      <c r="C11" s="417">
        <v>0</v>
      </c>
      <c r="D11" s="417">
        <v>0</v>
      </c>
      <c r="E11" s="417">
        <v>0</v>
      </c>
      <c r="F11" s="417">
        <v>0</v>
      </c>
      <c r="G11" s="417">
        <v>0</v>
      </c>
      <c r="H11" s="417">
        <v>0</v>
      </c>
      <c r="I11" s="417">
        <v>0</v>
      </c>
      <c r="J11" s="417">
        <v>0</v>
      </c>
      <c r="K11" s="417">
        <v>0</v>
      </c>
      <c r="L11" s="417">
        <v>0</v>
      </c>
      <c r="M11" s="417">
        <v>0</v>
      </c>
      <c r="N11" s="417">
        <v>0</v>
      </c>
    </row>
    <row r="12" spans="1:14" ht="62.25" customHeight="1" thickBot="1" x14ac:dyDescent="0.3">
      <c r="A12" s="214" t="s">
        <v>587</v>
      </c>
      <c r="B12" s="217" t="s">
        <v>699</v>
      </c>
      <c r="C12" s="418">
        <v>0</v>
      </c>
      <c r="D12" s="418">
        <v>0</v>
      </c>
      <c r="E12" s="432"/>
      <c r="F12" s="418">
        <v>0</v>
      </c>
      <c r="G12" s="418">
        <v>0</v>
      </c>
      <c r="H12" s="418">
        <v>0</v>
      </c>
      <c r="I12" s="432"/>
      <c r="J12" s="432"/>
      <c r="K12" s="432"/>
      <c r="L12" s="432"/>
      <c r="M12" s="432"/>
      <c r="N12" s="432"/>
    </row>
    <row r="13" spans="1:14" ht="68.25" customHeight="1" thickBot="1" x14ac:dyDescent="0.3">
      <c r="A13" s="214" t="s">
        <v>589</v>
      </c>
      <c r="B13" s="217" t="s">
        <v>700</v>
      </c>
      <c r="C13" s="418">
        <v>0</v>
      </c>
      <c r="D13" s="418">
        <v>0</v>
      </c>
      <c r="E13" s="432"/>
      <c r="F13" s="418">
        <v>0</v>
      </c>
      <c r="G13" s="418">
        <v>0</v>
      </c>
      <c r="H13" s="418">
        <v>0</v>
      </c>
      <c r="I13" s="432"/>
      <c r="J13" s="432"/>
      <c r="K13" s="432"/>
      <c r="L13" s="432"/>
      <c r="M13" s="432"/>
      <c r="N13" s="432"/>
    </row>
    <row r="14" spans="1:14" ht="51.75" customHeight="1" thickBot="1" x14ac:dyDescent="0.3">
      <c r="A14" s="214" t="s">
        <v>591</v>
      </c>
      <c r="B14" s="217" t="s">
        <v>701</v>
      </c>
      <c r="C14" s="418">
        <v>0</v>
      </c>
      <c r="D14" s="418">
        <v>0</v>
      </c>
      <c r="E14" s="432"/>
      <c r="F14" s="418">
        <v>0</v>
      </c>
      <c r="G14" s="418">
        <v>0</v>
      </c>
      <c r="H14" s="418">
        <v>0</v>
      </c>
      <c r="I14" s="432"/>
      <c r="J14" s="432"/>
      <c r="K14" s="432"/>
      <c r="L14" s="432"/>
      <c r="M14" s="432"/>
      <c r="N14" s="432"/>
    </row>
    <row r="15" spans="1:14" ht="35.25" customHeight="1" thickBot="1" x14ac:dyDescent="0.3">
      <c r="A15" s="218" t="s">
        <v>593</v>
      </c>
      <c r="B15" s="194" t="s">
        <v>702</v>
      </c>
      <c r="C15" s="417">
        <v>0</v>
      </c>
      <c r="D15" s="417">
        <v>0</v>
      </c>
      <c r="E15" s="417">
        <v>0</v>
      </c>
      <c r="F15" s="417">
        <v>0</v>
      </c>
      <c r="G15" s="417">
        <v>0</v>
      </c>
      <c r="H15" s="417">
        <v>0</v>
      </c>
      <c r="I15" s="417">
        <v>0</v>
      </c>
      <c r="J15" s="417">
        <v>0</v>
      </c>
      <c r="K15" s="417">
        <v>0</v>
      </c>
      <c r="L15" s="417">
        <v>0</v>
      </c>
      <c r="M15" s="417">
        <v>0</v>
      </c>
      <c r="N15" s="417">
        <v>0</v>
      </c>
    </row>
    <row r="16" spans="1:14" ht="15.75" thickBot="1" x14ac:dyDescent="0.3">
      <c r="A16" s="218" t="s">
        <v>595</v>
      </c>
      <c r="B16" s="194" t="s">
        <v>703</v>
      </c>
      <c r="C16" s="433"/>
      <c r="D16" s="433"/>
      <c r="E16" s="433"/>
      <c r="F16" s="433"/>
      <c r="G16" s="433"/>
      <c r="H16" s="433"/>
      <c r="I16" s="433"/>
      <c r="J16" s="433"/>
      <c r="K16" s="433"/>
      <c r="L16" s="433"/>
      <c r="M16" s="433"/>
      <c r="N16" s="433"/>
    </row>
    <row r="17" spans="1:14" ht="31.5" customHeight="1" thickBot="1" x14ac:dyDescent="0.3">
      <c r="A17" s="214" t="s">
        <v>597</v>
      </c>
      <c r="B17" s="215" t="s">
        <v>704</v>
      </c>
      <c r="C17" s="417">
        <v>0</v>
      </c>
      <c r="D17" s="417">
        <v>0</v>
      </c>
      <c r="E17" s="417">
        <v>0</v>
      </c>
      <c r="F17" s="417">
        <v>0</v>
      </c>
      <c r="G17" s="417">
        <v>0</v>
      </c>
      <c r="H17" s="417">
        <v>0</v>
      </c>
      <c r="I17" s="417">
        <v>0</v>
      </c>
      <c r="J17" s="417">
        <v>0</v>
      </c>
      <c r="K17" s="417">
        <v>0</v>
      </c>
      <c r="L17" s="417">
        <v>0</v>
      </c>
      <c r="M17" s="417">
        <v>0</v>
      </c>
      <c r="N17" s="417">
        <v>0</v>
      </c>
    </row>
    <row r="18" spans="1:14" ht="30.75" customHeight="1" thickBot="1" x14ac:dyDescent="0.3">
      <c r="A18" s="214" t="s">
        <v>599</v>
      </c>
      <c r="B18" s="216" t="s">
        <v>705</v>
      </c>
      <c r="C18" s="417">
        <v>0</v>
      </c>
      <c r="D18" s="417">
        <v>0</v>
      </c>
      <c r="E18" s="417">
        <v>0</v>
      </c>
      <c r="F18" s="417">
        <v>0</v>
      </c>
      <c r="G18" s="417">
        <v>0</v>
      </c>
      <c r="H18" s="417">
        <v>0</v>
      </c>
      <c r="I18" s="417">
        <v>0</v>
      </c>
      <c r="J18" s="417">
        <v>0</v>
      </c>
      <c r="K18" s="417">
        <v>0</v>
      </c>
      <c r="L18" s="417">
        <v>0</v>
      </c>
      <c r="M18" s="417">
        <v>0</v>
      </c>
      <c r="N18" s="417">
        <v>0</v>
      </c>
    </row>
    <row r="19" spans="1:14" ht="31.5" customHeight="1" thickBot="1" x14ac:dyDescent="0.3">
      <c r="A19" s="214" t="s">
        <v>600</v>
      </c>
      <c r="B19" s="215" t="s">
        <v>706</v>
      </c>
      <c r="C19" s="417">
        <v>0</v>
      </c>
      <c r="D19" s="417">
        <v>0</v>
      </c>
      <c r="E19" s="417">
        <v>0</v>
      </c>
      <c r="F19" s="417">
        <v>0</v>
      </c>
      <c r="G19" s="417">
        <v>0</v>
      </c>
      <c r="H19" s="417">
        <v>0</v>
      </c>
      <c r="I19" s="417">
        <v>0</v>
      </c>
      <c r="J19" s="417">
        <v>0</v>
      </c>
      <c r="K19" s="417">
        <v>0</v>
      </c>
      <c r="L19" s="417">
        <v>0</v>
      </c>
      <c r="M19" s="417">
        <v>0</v>
      </c>
      <c r="N19" s="417">
        <v>0</v>
      </c>
    </row>
    <row r="20" spans="1:14" ht="29.25" customHeight="1" thickBot="1" x14ac:dyDescent="0.3">
      <c r="A20" s="214" t="s">
        <v>601</v>
      </c>
      <c r="B20" s="216" t="s">
        <v>705</v>
      </c>
      <c r="C20" s="417">
        <v>0</v>
      </c>
      <c r="D20" s="417">
        <v>0</v>
      </c>
      <c r="E20" s="417">
        <v>0</v>
      </c>
      <c r="F20" s="417">
        <v>0</v>
      </c>
      <c r="G20" s="417">
        <v>0</v>
      </c>
      <c r="H20" s="417">
        <v>0</v>
      </c>
      <c r="I20" s="417">
        <v>0</v>
      </c>
      <c r="J20" s="417">
        <v>0</v>
      </c>
      <c r="K20" s="417">
        <v>0</v>
      </c>
      <c r="L20" s="417">
        <v>0</v>
      </c>
      <c r="M20" s="417">
        <v>0</v>
      </c>
      <c r="N20" s="417">
        <v>0</v>
      </c>
    </row>
    <row r="21" spans="1:14" ht="15.75" thickBot="1" x14ac:dyDescent="0.3">
      <c r="A21" s="218" t="s">
        <v>602</v>
      </c>
      <c r="B21" s="194" t="s">
        <v>707</v>
      </c>
      <c r="C21" s="417">
        <v>0</v>
      </c>
      <c r="D21" s="417">
        <v>0</v>
      </c>
      <c r="E21" s="417">
        <v>0</v>
      </c>
      <c r="F21" s="417">
        <v>0</v>
      </c>
      <c r="G21" s="417">
        <v>0</v>
      </c>
      <c r="H21" s="417">
        <v>0</v>
      </c>
      <c r="I21" s="417">
        <v>0</v>
      </c>
      <c r="J21" s="417">
        <v>0</v>
      </c>
      <c r="K21" s="417">
        <v>0</v>
      </c>
      <c r="L21" s="417">
        <v>0</v>
      </c>
      <c r="M21" s="417">
        <v>0</v>
      </c>
      <c r="N21" s="417">
        <v>0</v>
      </c>
    </row>
    <row r="22" spans="1:14" ht="21.75" thickBot="1" x14ac:dyDescent="0.3">
      <c r="A22" s="218" t="s">
        <v>603</v>
      </c>
      <c r="B22" s="194" t="s">
        <v>573</v>
      </c>
      <c r="C22" s="417">
        <v>0</v>
      </c>
      <c r="D22" s="417">
        <v>0</v>
      </c>
      <c r="E22" s="417">
        <v>0</v>
      </c>
      <c r="F22" s="417">
        <v>0</v>
      </c>
      <c r="G22" s="417">
        <v>0</v>
      </c>
      <c r="H22" s="417">
        <v>0</v>
      </c>
      <c r="I22" s="417">
        <v>0</v>
      </c>
      <c r="J22" s="417">
        <v>0</v>
      </c>
      <c r="K22" s="417">
        <v>0</v>
      </c>
      <c r="L22" s="417">
        <v>0</v>
      </c>
      <c r="M22" s="417">
        <v>0</v>
      </c>
      <c r="N22" s="417">
        <v>0</v>
      </c>
    </row>
  </sheetData>
  <mergeCells count="2">
    <mergeCell ref="G7:G8"/>
    <mergeCell ref="H7:N7"/>
  </mergeCells>
  <hyperlinks>
    <hyperlink ref="A2" location="Indhold!B78" display="Skema EU CQ6: Værdiansættelse af sikkerhedsstillelse - lån og forskud " xr:uid="{4206B6D0-6827-4A6C-9B84-68DDCD46441E}"/>
  </hyperlinks>
  <pageMargins left="0.70866141732283472" right="0.70866141732283472" top="0.74803149606299213" bottom="0.74803149606299213" header="0.31496062992125984" footer="0.31496062992125984"/>
  <pageSetup paperSize="9" scale="75" orientation="landscape" r:id="rId1"/>
  <headerFooter>
    <oddHeader>&amp;CDA
Bilag XV</oddHeader>
    <oddFooter>&amp;C&amp;P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40161-E6FA-4FDD-A40F-F7258D9C13ED}">
  <sheetPr>
    <tabColor rgb="FFFF0000"/>
    <pageSetUpPr fitToPage="1"/>
  </sheetPr>
  <dimension ref="A1:X14"/>
  <sheetViews>
    <sheetView showGridLines="0" zoomScaleNormal="100" zoomScalePageLayoutView="90" workbookViewId="0"/>
  </sheetViews>
  <sheetFormatPr defaultRowHeight="15" x14ac:dyDescent="0.25"/>
  <cols>
    <col min="2" max="2" width="15.85546875" customWidth="1"/>
  </cols>
  <sheetData>
    <row r="1" spans="1:24" x14ac:dyDescent="0.25">
      <c r="A1" s="866" t="s">
        <v>719</v>
      </c>
    </row>
    <row r="2" spans="1:24" ht="16.5" thickBot="1" x14ac:dyDescent="0.3">
      <c r="A2" s="221"/>
      <c r="B2" s="221"/>
      <c r="C2" s="220"/>
      <c r="D2" s="1235"/>
      <c r="E2" s="1235"/>
      <c r="F2" s="1235"/>
      <c r="G2" s="220"/>
      <c r="H2" s="1235"/>
      <c r="I2" s="1235"/>
      <c r="J2" s="1235"/>
      <c r="K2" s="220"/>
      <c r="L2" s="1235"/>
      <c r="M2" s="1235"/>
      <c r="N2" s="1235"/>
      <c r="O2" s="1235"/>
      <c r="P2" s="1235"/>
      <c r="Q2" s="1235"/>
      <c r="R2" s="1235"/>
      <c r="S2" s="220"/>
      <c r="T2" s="1235"/>
      <c r="U2" s="1235"/>
      <c r="V2" s="220"/>
      <c r="W2" s="1235"/>
      <c r="X2" s="1235"/>
    </row>
    <row r="3" spans="1:24" ht="15.75" thickBot="1" x14ac:dyDescent="0.3">
      <c r="A3" s="221"/>
      <c r="B3" s="221"/>
      <c r="C3" s="1283" t="s">
        <v>103</v>
      </c>
      <c r="D3" s="1284"/>
      <c r="E3" s="222" t="s">
        <v>102</v>
      </c>
      <c r="F3" s="1283" t="s">
        <v>97</v>
      </c>
      <c r="G3" s="1285"/>
      <c r="H3" s="1284"/>
      <c r="I3" s="222" t="s">
        <v>96</v>
      </c>
      <c r="J3" s="1283" t="s">
        <v>95</v>
      </c>
      <c r="K3" s="1284"/>
      <c r="L3" s="1283" t="s">
        <v>111</v>
      </c>
      <c r="M3" s="1284"/>
      <c r="N3" s="1283" t="s">
        <v>112</v>
      </c>
      <c r="O3" s="1285"/>
      <c r="P3" s="1284"/>
      <c r="Q3" s="223" t="s">
        <v>164</v>
      </c>
      <c r="R3" s="1283" t="s">
        <v>323</v>
      </c>
      <c r="S3" s="1284"/>
      <c r="T3" s="223" t="s">
        <v>324</v>
      </c>
      <c r="U3" s="1283" t="s">
        <v>325</v>
      </c>
      <c r="V3" s="1284"/>
      <c r="W3" s="1283" t="s">
        <v>326</v>
      </c>
      <c r="X3" s="1284"/>
    </row>
    <row r="4" spans="1:24" ht="15.75" thickBot="1" x14ac:dyDescent="0.3">
      <c r="A4" s="224"/>
      <c r="B4" s="224"/>
      <c r="C4" s="1268" t="s">
        <v>720</v>
      </c>
      <c r="D4" s="1269"/>
      <c r="E4" s="1270"/>
      <c r="F4" s="1274" t="s">
        <v>721</v>
      </c>
      <c r="G4" s="1275"/>
      <c r="H4" s="1275"/>
      <c r="I4" s="1275"/>
      <c r="J4" s="1275"/>
      <c r="K4" s="1275"/>
      <c r="L4" s="1275"/>
      <c r="M4" s="1275"/>
      <c r="N4" s="1276"/>
      <c r="O4" s="1276"/>
      <c r="P4" s="1276"/>
      <c r="Q4" s="225"/>
      <c r="R4" s="1276"/>
      <c r="S4" s="1276"/>
      <c r="T4" s="225"/>
      <c r="U4" s="1276"/>
      <c r="V4" s="1276"/>
      <c r="W4" s="1276"/>
      <c r="X4" s="1277"/>
    </row>
    <row r="5" spans="1:24" ht="15.75" thickBot="1" x14ac:dyDescent="0.3">
      <c r="A5" s="224"/>
      <c r="B5" s="226"/>
      <c r="C5" s="1271"/>
      <c r="D5" s="1272"/>
      <c r="E5" s="1273"/>
      <c r="F5" s="1278"/>
      <c r="G5" s="1279"/>
      <c r="H5" s="1279"/>
      <c r="I5" s="1280"/>
      <c r="J5" s="1265" t="s">
        <v>722</v>
      </c>
      <c r="K5" s="1267"/>
      <c r="L5" s="1267"/>
      <c r="M5" s="1281"/>
      <c r="N5" s="1282" t="s">
        <v>723</v>
      </c>
      <c r="O5" s="1267"/>
      <c r="P5" s="1267"/>
      <c r="Q5" s="1281"/>
      <c r="R5" s="1282" t="s">
        <v>724</v>
      </c>
      <c r="S5" s="1267"/>
      <c r="T5" s="1281"/>
      <c r="U5" s="1282" t="s">
        <v>725</v>
      </c>
      <c r="V5" s="1267"/>
      <c r="W5" s="1267"/>
      <c r="X5" s="1281"/>
    </row>
    <row r="6" spans="1:24" ht="30" thickBot="1" x14ac:dyDescent="0.3">
      <c r="A6" s="224"/>
      <c r="B6" s="227"/>
      <c r="C6" s="1265" t="s">
        <v>669</v>
      </c>
      <c r="D6" s="1266"/>
      <c r="E6" s="228" t="s">
        <v>711</v>
      </c>
      <c r="F6" s="1265" t="s">
        <v>710</v>
      </c>
      <c r="G6" s="1266"/>
      <c r="H6" s="1265" t="s">
        <v>711</v>
      </c>
      <c r="I6" s="1266"/>
      <c r="J6" s="1265" t="s">
        <v>710</v>
      </c>
      <c r="K6" s="1267"/>
      <c r="L6" s="1266"/>
      <c r="M6" s="229" t="s">
        <v>711</v>
      </c>
      <c r="N6" s="1265" t="s">
        <v>710</v>
      </c>
      <c r="O6" s="1266"/>
      <c r="P6" s="1265" t="s">
        <v>711</v>
      </c>
      <c r="Q6" s="1266"/>
      <c r="R6" s="1265" t="s">
        <v>710</v>
      </c>
      <c r="S6" s="1266"/>
      <c r="T6" s="229" t="s">
        <v>711</v>
      </c>
      <c r="U6" s="1265" t="s">
        <v>710</v>
      </c>
      <c r="V6" s="1267"/>
      <c r="W6" s="1266"/>
      <c r="X6" s="222" t="s">
        <v>711</v>
      </c>
    </row>
    <row r="7" spans="1:24" ht="59.25" thickBot="1" x14ac:dyDescent="0.3">
      <c r="A7" s="230" t="s">
        <v>343</v>
      </c>
      <c r="B7" s="227" t="s">
        <v>726</v>
      </c>
      <c r="C7" s="1259">
        <v>0</v>
      </c>
      <c r="D7" s="1260"/>
      <c r="E7" s="434">
        <v>0</v>
      </c>
      <c r="F7" s="1259">
        <v>0</v>
      </c>
      <c r="G7" s="1260"/>
      <c r="H7" s="1259">
        <v>0</v>
      </c>
      <c r="I7" s="1260"/>
      <c r="J7" s="1262"/>
      <c r="K7" s="1264"/>
      <c r="L7" s="1263"/>
      <c r="M7" s="435"/>
      <c r="N7" s="1262"/>
      <c r="O7" s="1263"/>
      <c r="P7" s="1262"/>
      <c r="Q7" s="1263"/>
      <c r="R7" s="1262"/>
      <c r="S7" s="1263"/>
      <c r="T7" s="435"/>
      <c r="U7" s="1262"/>
      <c r="V7" s="1264"/>
      <c r="W7" s="1263"/>
      <c r="X7" s="436"/>
    </row>
    <row r="8" spans="1:24" ht="59.25" thickBot="1" x14ac:dyDescent="0.3">
      <c r="A8" s="231" t="s">
        <v>349</v>
      </c>
      <c r="B8" s="227" t="s">
        <v>727</v>
      </c>
      <c r="C8" s="1259">
        <v>0</v>
      </c>
      <c r="D8" s="1260"/>
      <c r="E8" s="434">
        <v>0</v>
      </c>
      <c r="F8" s="1259">
        <v>0</v>
      </c>
      <c r="G8" s="1260"/>
      <c r="H8" s="1259">
        <v>0</v>
      </c>
      <c r="I8" s="1260"/>
      <c r="J8" s="1259">
        <v>0</v>
      </c>
      <c r="K8" s="1261"/>
      <c r="L8" s="1260"/>
      <c r="M8" s="434">
        <v>0</v>
      </c>
      <c r="N8" s="1259">
        <v>0</v>
      </c>
      <c r="O8" s="1260"/>
      <c r="P8" s="1259">
        <v>0</v>
      </c>
      <c r="Q8" s="1260"/>
      <c r="R8" s="1259">
        <v>0</v>
      </c>
      <c r="S8" s="1260"/>
      <c r="T8" s="434">
        <v>0</v>
      </c>
      <c r="U8" s="1259">
        <v>0</v>
      </c>
      <c r="V8" s="1261"/>
      <c r="W8" s="1260"/>
      <c r="X8" s="434">
        <v>0</v>
      </c>
    </row>
    <row r="9" spans="1:24" ht="20.25" thickBot="1" x14ac:dyDescent="0.3">
      <c r="A9" s="232" t="s">
        <v>585</v>
      </c>
      <c r="B9" s="233" t="s">
        <v>714</v>
      </c>
      <c r="C9" s="1259">
        <v>0</v>
      </c>
      <c r="D9" s="1260"/>
      <c r="E9" s="434">
        <v>0</v>
      </c>
      <c r="F9" s="1259">
        <v>0</v>
      </c>
      <c r="G9" s="1260"/>
      <c r="H9" s="1259">
        <v>0</v>
      </c>
      <c r="I9" s="1260"/>
      <c r="J9" s="1259">
        <v>0</v>
      </c>
      <c r="K9" s="1261"/>
      <c r="L9" s="1260"/>
      <c r="M9" s="434">
        <v>0</v>
      </c>
      <c r="N9" s="1259">
        <v>0</v>
      </c>
      <c r="O9" s="1260"/>
      <c r="P9" s="1259">
        <v>0</v>
      </c>
      <c r="Q9" s="1260"/>
      <c r="R9" s="1259">
        <v>0</v>
      </c>
      <c r="S9" s="1260"/>
      <c r="T9" s="434">
        <v>0</v>
      </c>
      <c r="U9" s="1259">
        <v>0</v>
      </c>
      <c r="V9" s="1261"/>
      <c r="W9" s="1260"/>
      <c r="X9" s="434">
        <v>0</v>
      </c>
    </row>
    <row r="10" spans="1:24" ht="20.25" thickBot="1" x14ac:dyDescent="0.3">
      <c r="A10" s="232" t="s">
        <v>587</v>
      </c>
      <c r="B10" s="233" t="s">
        <v>715</v>
      </c>
      <c r="C10" s="1259">
        <v>0</v>
      </c>
      <c r="D10" s="1260"/>
      <c r="E10" s="434">
        <v>0</v>
      </c>
      <c r="F10" s="1259">
        <v>0</v>
      </c>
      <c r="G10" s="1260"/>
      <c r="H10" s="1259">
        <v>0</v>
      </c>
      <c r="I10" s="1260"/>
      <c r="J10" s="1259">
        <v>0</v>
      </c>
      <c r="K10" s="1261"/>
      <c r="L10" s="1260"/>
      <c r="M10" s="434">
        <v>0</v>
      </c>
      <c r="N10" s="1259">
        <v>0</v>
      </c>
      <c r="O10" s="1260"/>
      <c r="P10" s="1259">
        <v>0</v>
      </c>
      <c r="Q10" s="1260"/>
      <c r="R10" s="1259">
        <v>0</v>
      </c>
      <c r="S10" s="1260"/>
      <c r="T10" s="434">
        <v>0</v>
      </c>
      <c r="U10" s="1259">
        <v>0</v>
      </c>
      <c r="V10" s="1261"/>
      <c r="W10" s="1260"/>
      <c r="X10" s="434">
        <v>0</v>
      </c>
    </row>
    <row r="11" spans="1:24" ht="20.25" thickBot="1" x14ac:dyDescent="0.3">
      <c r="A11" s="232" t="s">
        <v>589</v>
      </c>
      <c r="B11" s="233" t="s">
        <v>716</v>
      </c>
      <c r="C11" s="1259">
        <v>0</v>
      </c>
      <c r="D11" s="1260"/>
      <c r="E11" s="434">
        <v>0</v>
      </c>
      <c r="F11" s="1259">
        <v>0</v>
      </c>
      <c r="G11" s="1260"/>
      <c r="H11" s="1259">
        <v>0</v>
      </c>
      <c r="I11" s="1260"/>
      <c r="J11" s="1259">
        <v>0</v>
      </c>
      <c r="K11" s="1261"/>
      <c r="L11" s="1260"/>
      <c r="M11" s="434">
        <v>0</v>
      </c>
      <c r="N11" s="1259">
        <v>0</v>
      </c>
      <c r="O11" s="1260"/>
      <c r="P11" s="1259">
        <v>0</v>
      </c>
      <c r="Q11" s="1260"/>
      <c r="R11" s="1259">
        <v>0</v>
      </c>
      <c r="S11" s="1260"/>
      <c r="T11" s="434">
        <v>0</v>
      </c>
      <c r="U11" s="1259">
        <v>0</v>
      </c>
      <c r="V11" s="1261"/>
      <c r="W11" s="1260"/>
      <c r="X11" s="434">
        <v>0</v>
      </c>
    </row>
    <row r="12" spans="1:24" ht="30" thickBot="1" x14ac:dyDescent="0.3">
      <c r="A12" s="232" t="s">
        <v>591</v>
      </c>
      <c r="B12" s="233" t="s">
        <v>717</v>
      </c>
      <c r="C12" s="1259">
        <v>0</v>
      </c>
      <c r="D12" s="1260"/>
      <c r="E12" s="434">
        <v>0</v>
      </c>
      <c r="F12" s="1259">
        <v>0</v>
      </c>
      <c r="G12" s="1260"/>
      <c r="H12" s="1259">
        <v>0</v>
      </c>
      <c r="I12" s="1260"/>
      <c r="J12" s="1259">
        <v>0</v>
      </c>
      <c r="K12" s="1261"/>
      <c r="L12" s="1260"/>
      <c r="M12" s="434">
        <v>0</v>
      </c>
      <c r="N12" s="1259">
        <v>0</v>
      </c>
      <c r="O12" s="1260"/>
      <c r="P12" s="1259">
        <v>0</v>
      </c>
      <c r="Q12" s="1260"/>
      <c r="R12" s="1259">
        <v>0</v>
      </c>
      <c r="S12" s="1260"/>
      <c r="T12" s="434">
        <v>0</v>
      </c>
      <c r="U12" s="1259">
        <v>0</v>
      </c>
      <c r="V12" s="1261"/>
      <c r="W12" s="1260"/>
      <c r="X12" s="434">
        <v>0</v>
      </c>
    </row>
    <row r="13" spans="1:24" ht="30" thickBot="1" x14ac:dyDescent="0.3">
      <c r="A13" s="232" t="s">
        <v>593</v>
      </c>
      <c r="B13" s="233" t="s">
        <v>718</v>
      </c>
      <c r="C13" s="1259">
        <v>0</v>
      </c>
      <c r="D13" s="1260"/>
      <c r="E13" s="434">
        <v>0</v>
      </c>
      <c r="F13" s="1259">
        <v>0</v>
      </c>
      <c r="G13" s="1260"/>
      <c r="H13" s="1259">
        <v>0</v>
      </c>
      <c r="I13" s="1260"/>
      <c r="J13" s="1259">
        <v>0</v>
      </c>
      <c r="K13" s="1261"/>
      <c r="L13" s="1260"/>
      <c r="M13" s="434">
        <v>0</v>
      </c>
      <c r="N13" s="1259">
        <v>0</v>
      </c>
      <c r="O13" s="1260"/>
      <c r="P13" s="1259">
        <v>0</v>
      </c>
      <c r="Q13" s="1260"/>
      <c r="R13" s="1259">
        <v>0</v>
      </c>
      <c r="S13" s="1260"/>
      <c r="T13" s="434">
        <v>0</v>
      </c>
      <c r="U13" s="1259">
        <v>0</v>
      </c>
      <c r="V13" s="1261"/>
      <c r="W13" s="1260"/>
      <c r="X13" s="434">
        <v>0</v>
      </c>
    </row>
    <row r="14" spans="1:24" ht="15.75" thickBot="1" x14ac:dyDescent="0.3">
      <c r="A14" s="234" t="s">
        <v>595</v>
      </c>
      <c r="B14" s="235" t="s">
        <v>0</v>
      </c>
      <c r="C14" s="1259">
        <v>0</v>
      </c>
      <c r="D14" s="1260"/>
      <c r="E14" s="434">
        <v>0</v>
      </c>
      <c r="F14" s="1259">
        <v>0</v>
      </c>
      <c r="G14" s="1260"/>
      <c r="H14" s="1259">
        <v>0</v>
      </c>
      <c r="I14" s="1260"/>
      <c r="J14" s="1259">
        <v>0</v>
      </c>
      <c r="K14" s="1261"/>
      <c r="L14" s="1260"/>
      <c r="M14" s="434">
        <v>0</v>
      </c>
      <c r="N14" s="1259">
        <v>0</v>
      </c>
      <c r="O14" s="1260"/>
      <c r="P14" s="1259">
        <v>0</v>
      </c>
      <c r="Q14" s="1260"/>
      <c r="R14" s="1259">
        <v>0</v>
      </c>
      <c r="S14" s="1260"/>
      <c r="T14" s="434">
        <v>0</v>
      </c>
      <c r="U14" s="1259">
        <v>0</v>
      </c>
      <c r="V14" s="1261"/>
      <c r="W14" s="1260"/>
      <c r="X14" s="434">
        <v>0</v>
      </c>
    </row>
  </sheetData>
  <mergeCells count="99">
    <mergeCell ref="C3:D3"/>
    <mergeCell ref="F3:H3"/>
    <mergeCell ref="J3:K3"/>
    <mergeCell ref="L3:M3"/>
    <mergeCell ref="N3:P3"/>
    <mergeCell ref="D2:F2"/>
    <mergeCell ref="H2:J2"/>
    <mergeCell ref="L2:N2"/>
    <mergeCell ref="O2:P2"/>
    <mergeCell ref="Q2:R2"/>
    <mergeCell ref="J5:M5"/>
    <mergeCell ref="N5:Q5"/>
    <mergeCell ref="W2:X2"/>
    <mergeCell ref="R3:S3"/>
    <mergeCell ref="U3:V3"/>
    <mergeCell ref="W3:X3"/>
    <mergeCell ref="T2:U2"/>
    <mergeCell ref="R5:T5"/>
    <mergeCell ref="U5:X5"/>
    <mergeCell ref="P6:Q6"/>
    <mergeCell ref="R6:S6"/>
    <mergeCell ref="U6:W6"/>
    <mergeCell ref="C4:E5"/>
    <mergeCell ref="F4:M4"/>
    <mergeCell ref="N4:P4"/>
    <mergeCell ref="R4:S4"/>
    <mergeCell ref="U4:V4"/>
    <mergeCell ref="W4:X4"/>
    <mergeCell ref="C6:D6"/>
    <mergeCell ref="F6:G6"/>
    <mergeCell ref="H6:I6"/>
    <mergeCell ref="J6:L6"/>
    <mergeCell ref="N6:O6"/>
    <mergeCell ref="F5:G5"/>
    <mergeCell ref="H5:I5"/>
    <mergeCell ref="R7:S7"/>
    <mergeCell ref="U7:W7"/>
    <mergeCell ref="C8:D8"/>
    <mergeCell ref="F8:G8"/>
    <mergeCell ref="H8:I8"/>
    <mergeCell ref="J8:L8"/>
    <mergeCell ref="N8:O8"/>
    <mergeCell ref="P8:Q8"/>
    <mergeCell ref="R8:S8"/>
    <mergeCell ref="U8:W8"/>
    <mergeCell ref="C7:D7"/>
    <mergeCell ref="F7:G7"/>
    <mergeCell ref="H7:I7"/>
    <mergeCell ref="J7:L7"/>
    <mergeCell ref="N7:O7"/>
    <mergeCell ref="P7:Q7"/>
    <mergeCell ref="R9:S9"/>
    <mergeCell ref="U9:W9"/>
    <mergeCell ref="C10:D10"/>
    <mergeCell ref="F10:G10"/>
    <mergeCell ref="H10:I10"/>
    <mergeCell ref="J10:L10"/>
    <mergeCell ref="N10:O10"/>
    <mergeCell ref="P10:Q10"/>
    <mergeCell ref="R10:S10"/>
    <mergeCell ref="U10:W10"/>
    <mergeCell ref="C9:D9"/>
    <mergeCell ref="F9:G9"/>
    <mergeCell ref="H9:I9"/>
    <mergeCell ref="J9:L9"/>
    <mergeCell ref="N9:O9"/>
    <mergeCell ref="P9:Q9"/>
    <mergeCell ref="R11:S11"/>
    <mergeCell ref="U11:W11"/>
    <mergeCell ref="C12:D12"/>
    <mergeCell ref="F12:G12"/>
    <mergeCell ref="H12:I12"/>
    <mergeCell ref="J12:L12"/>
    <mergeCell ref="N12:O12"/>
    <mergeCell ref="P12:Q12"/>
    <mergeCell ref="R12:S12"/>
    <mergeCell ref="U12:W12"/>
    <mergeCell ref="C11:D11"/>
    <mergeCell ref="F11:G11"/>
    <mergeCell ref="H11:I11"/>
    <mergeCell ref="J11:L11"/>
    <mergeCell ref="N11:O11"/>
    <mergeCell ref="P11:Q11"/>
    <mergeCell ref="R13:S13"/>
    <mergeCell ref="U13:W13"/>
    <mergeCell ref="C14:D14"/>
    <mergeCell ref="F14:G14"/>
    <mergeCell ref="H14:I14"/>
    <mergeCell ref="J14:L14"/>
    <mergeCell ref="N14:O14"/>
    <mergeCell ref="P14:Q14"/>
    <mergeCell ref="R14:S14"/>
    <mergeCell ref="U14:W14"/>
    <mergeCell ref="C13:D13"/>
    <mergeCell ref="F13:G13"/>
    <mergeCell ref="H13:I13"/>
    <mergeCell ref="J13:L13"/>
    <mergeCell ref="N13:O13"/>
    <mergeCell ref="P13:Q13"/>
  </mergeCells>
  <hyperlinks>
    <hyperlink ref="A1" location="Indhold!B79" display="Skema EU CQ8: Sikkerhedsstillelse opnået gennem overtagelse og fuldbyrdelsesprocesser – opdeling efter årgang" xr:uid="{51624722-4A52-4BC2-B00F-4537E8C605D1}"/>
  </hyperlinks>
  <pageMargins left="0.70866141732283472" right="0.70866141732283472" top="0.74803149606299213" bottom="0.74803149606299213" header="0.31496062992125984" footer="0.31496062992125984"/>
  <pageSetup paperSize="9" scale="57" orientation="landscape" r:id="rId1"/>
  <headerFooter>
    <oddHeader>&amp;CDA
Bilag XV</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D20B1-2117-482A-AFF7-B0E0E13651A7}">
  <sheetPr>
    <pageSetUpPr fitToPage="1"/>
  </sheetPr>
  <dimension ref="B2:P59"/>
  <sheetViews>
    <sheetView showGridLines="0" zoomScaleNormal="100" zoomScalePageLayoutView="80" workbookViewId="0">
      <selection activeCell="F1" sqref="F1"/>
    </sheetView>
  </sheetViews>
  <sheetFormatPr defaultColWidth="9.140625" defaultRowHeight="15" x14ac:dyDescent="0.25"/>
  <cols>
    <col min="2" max="2" width="7.5703125" style="39" customWidth="1"/>
    <col min="3" max="3" width="44" customWidth="1"/>
    <col min="4" max="5" width="23" customWidth="1"/>
    <col min="6" max="10" width="21.140625" customWidth="1"/>
    <col min="12" max="12" width="10.5703125" bestFit="1" customWidth="1"/>
  </cols>
  <sheetData>
    <row r="2" spans="2:16" ht="24" customHeight="1" x14ac:dyDescent="0.3">
      <c r="B2" s="416" t="s">
        <v>110</v>
      </c>
      <c r="D2" s="40"/>
      <c r="F2" s="40"/>
      <c r="G2" s="40"/>
      <c r="H2" s="40"/>
      <c r="I2" s="40"/>
      <c r="J2" s="40"/>
    </row>
    <row r="4" spans="2:16" x14ac:dyDescent="0.25">
      <c r="B4"/>
    </row>
    <row r="5" spans="2:16" x14ac:dyDescent="0.25">
      <c r="B5" s="505"/>
      <c r="C5" s="440"/>
      <c r="D5" s="442" t="s">
        <v>103</v>
      </c>
      <c r="E5" s="442" t="s">
        <v>102</v>
      </c>
      <c r="F5" s="442" t="s">
        <v>97</v>
      </c>
      <c r="G5" s="442" t="s">
        <v>96</v>
      </c>
      <c r="H5" s="442" t="s">
        <v>95</v>
      </c>
      <c r="I5" s="442" t="s">
        <v>111</v>
      </c>
      <c r="J5" s="442" t="s">
        <v>112</v>
      </c>
    </row>
    <row r="6" spans="2:16" x14ac:dyDescent="0.25">
      <c r="B6" s="505"/>
      <c r="C6" s="440" t="s">
        <v>113</v>
      </c>
      <c r="D6" s="953" t="s">
        <v>114</v>
      </c>
      <c r="E6" s="955" t="s">
        <v>115</v>
      </c>
      <c r="F6" s="957" t="s">
        <v>116</v>
      </c>
      <c r="G6" s="958"/>
      <c r="H6" s="958"/>
      <c r="I6" s="958"/>
      <c r="J6" s="959"/>
    </row>
    <row r="7" spans="2:16" ht="90.75" customHeight="1" x14ac:dyDescent="0.25">
      <c r="B7" s="505"/>
      <c r="C7" s="441" t="s">
        <v>1423</v>
      </c>
      <c r="D7" s="954"/>
      <c r="E7" s="956"/>
      <c r="F7" s="444" t="s">
        <v>1419</v>
      </c>
      <c r="G7" s="444" t="s">
        <v>1418</v>
      </c>
      <c r="H7" s="444" t="s">
        <v>1420</v>
      </c>
      <c r="I7" s="444" t="s">
        <v>1421</v>
      </c>
      <c r="J7" s="444" t="s">
        <v>117</v>
      </c>
    </row>
    <row r="8" spans="2:16" ht="45" x14ac:dyDescent="0.25">
      <c r="B8" s="451"/>
      <c r="C8" s="42" t="s">
        <v>118</v>
      </c>
      <c r="D8" s="445"/>
      <c r="E8" s="443"/>
      <c r="F8" s="443"/>
      <c r="G8" s="443"/>
      <c r="H8" s="443"/>
      <c r="I8" s="443"/>
      <c r="J8" s="443"/>
      <c r="P8" s="43"/>
    </row>
    <row r="9" spans="2:16" ht="30" x14ac:dyDescent="0.25">
      <c r="B9" s="44">
        <v>1</v>
      </c>
      <c r="C9" s="45" t="s">
        <v>119</v>
      </c>
      <c r="D9" s="910">
        <v>736055</v>
      </c>
      <c r="E9" s="913"/>
      <c r="F9" s="910">
        <f>+D9</f>
        <v>736055</v>
      </c>
      <c r="G9" s="913"/>
      <c r="H9" s="913"/>
      <c r="I9" s="914"/>
      <c r="J9" s="914"/>
    </row>
    <row r="10" spans="2:16" ht="30" x14ac:dyDescent="0.25">
      <c r="B10" s="44">
        <f>+B9+1</f>
        <v>2</v>
      </c>
      <c r="C10" s="45" t="s">
        <v>120</v>
      </c>
      <c r="D10" s="910">
        <v>113158</v>
      </c>
      <c r="E10" s="913"/>
      <c r="F10" s="910">
        <f>+D10</f>
        <v>113158</v>
      </c>
      <c r="G10" s="913"/>
      <c r="H10" s="913"/>
      <c r="I10" s="914"/>
      <c r="J10" s="914"/>
    </row>
    <row r="11" spans="2:16" x14ac:dyDescent="0.25">
      <c r="B11" s="44">
        <f t="shared" ref="B11:B22" si="0">+B10+1</f>
        <v>3</v>
      </c>
      <c r="C11" s="45" t="s">
        <v>121</v>
      </c>
      <c r="D11" s="910">
        <v>0</v>
      </c>
      <c r="E11" s="913"/>
      <c r="F11" s="910">
        <f>+D11</f>
        <v>0</v>
      </c>
      <c r="G11" s="913"/>
      <c r="H11" s="913"/>
      <c r="I11" s="914"/>
      <c r="J11" s="914"/>
    </row>
    <row r="12" spans="2:16" ht="30" x14ac:dyDescent="0.25">
      <c r="B12" s="44">
        <f t="shared" si="0"/>
        <v>4</v>
      </c>
      <c r="C12" s="45" t="s">
        <v>122</v>
      </c>
      <c r="D12" s="910">
        <v>4106151</v>
      </c>
      <c r="E12" s="913"/>
      <c r="F12" s="910">
        <f>+D12</f>
        <v>4106151</v>
      </c>
      <c r="G12" s="913"/>
      <c r="H12" s="913"/>
      <c r="I12" s="914"/>
      <c r="J12" s="914"/>
    </row>
    <row r="13" spans="2:16" x14ac:dyDescent="0.25">
      <c r="B13" s="44">
        <f t="shared" si="0"/>
        <v>5</v>
      </c>
      <c r="C13" s="45" t="s">
        <v>123</v>
      </c>
      <c r="D13" s="910">
        <v>3378197</v>
      </c>
      <c r="E13" s="913"/>
      <c r="F13" s="910"/>
      <c r="G13" s="913"/>
      <c r="H13" s="913"/>
      <c r="I13" s="914">
        <f>+D13</f>
        <v>3378197</v>
      </c>
      <c r="J13" s="914"/>
    </row>
    <row r="14" spans="2:16" x14ac:dyDescent="0.25">
      <c r="B14" s="44">
        <f t="shared" si="0"/>
        <v>6</v>
      </c>
      <c r="C14" s="45" t="s">
        <v>124</v>
      </c>
      <c r="D14" s="910">
        <v>330725</v>
      </c>
      <c r="E14" s="913"/>
      <c r="F14" s="910">
        <f>+D14-J14-I14</f>
        <v>158334.54800000001</v>
      </c>
      <c r="G14" s="913"/>
      <c r="H14" s="913"/>
      <c r="I14" s="914">
        <f>23236+12335</f>
        <v>35571</v>
      </c>
      <c r="J14" s="914">
        <f>-'6'!D31</f>
        <v>136819.45199999999</v>
      </c>
    </row>
    <row r="15" spans="2:16" x14ac:dyDescent="0.25">
      <c r="B15" s="44">
        <f t="shared" si="0"/>
        <v>7</v>
      </c>
      <c r="C15" s="45" t="s">
        <v>125</v>
      </c>
      <c r="D15" s="910">
        <v>54233</v>
      </c>
      <c r="E15" s="913"/>
      <c r="F15" s="910">
        <f>+D15</f>
        <v>54233</v>
      </c>
      <c r="G15" s="913"/>
      <c r="H15" s="913"/>
      <c r="I15" s="914"/>
      <c r="J15" s="914"/>
    </row>
    <row r="16" spans="2:16" x14ac:dyDescent="0.25">
      <c r="B16" s="44">
        <f t="shared" si="0"/>
        <v>8</v>
      </c>
      <c r="C16" s="45" t="s">
        <v>126</v>
      </c>
      <c r="D16" s="910">
        <v>846694</v>
      </c>
      <c r="E16" s="913"/>
      <c r="F16" s="910"/>
      <c r="G16" s="913"/>
      <c r="H16" s="913"/>
      <c r="I16" s="914"/>
      <c r="J16" s="914">
        <f>+D16</f>
        <v>846694</v>
      </c>
    </row>
    <row r="17" spans="2:12" x14ac:dyDescent="0.25">
      <c r="B17" s="44">
        <f t="shared" si="0"/>
        <v>9</v>
      </c>
      <c r="C17" s="45" t="s">
        <v>127</v>
      </c>
      <c r="D17" s="910">
        <v>75469</v>
      </c>
      <c r="E17" s="913"/>
      <c r="F17" s="910">
        <f>+D17</f>
        <v>75469</v>
      </c>
      <c r="G17" s="913"/>
      <c r="H17" s="913"/>
      <c r="I17" s="914"/>
      <c r="J17" s="914"/>
    </row>
    <row r="18" spans="2:12" x14ac:dyDescent="0.25">
      <c r="B18" s="44">
        <f t="shared" si="0"/>
        <v>10</v>
      </c>
      <c r="C18" s="45" t="s">
        <v>128</v>
      </c>
      <c r="D18" s="910">
        <v>3244</v>
      </c>
      <c r="E18" s="913"/>
      <c r="F18" s="910">
        <f>+D18</f>
        <v>3244</v>
      </c>
      <c r="G18" s="913"/>
      <c r="H18" s="913"/>
      <c r="I18" s="914"/>
      <c r="J18" s="914"/>
    </row>
    <row r="19" spans="2:12" x14ac:dyDescent="0.25">
      <c r="B19" s="44">
        <f t="shared" si="0"/>
        <v>11</v>
      </c>
      <c r="C19" s="45" t="s">
        <v>129</v>
      </c>
      <c r="D19" s="910">
        <v>3533</v>
      </c>
      <c r="E19" s="913"/>
      <c r="F19" s="910">
        <f>+D19</f>
        <v>3533</v>
      </c>
      <c r="G19" s="913"/>
      <c r="H19" s="913"/>
      <c r="I19" s="914"/>
      <c r="J19" s="914"/>
    </row>
    <row r="20" spans="2:12" x14ac:dyDescent="0.25">
      <c r="B20" s="451">
        <f t="shared" si="0"/>
        <v>12</v>
      </c>
      <c r="C20" s="45" t="s">
        <v>1494</v>
      </c>
      <c r="D20" s="910">
        <v>0</v>
      </c>
      <c r="E20" s="913"/>
      <c r="F20" s="910">
        <f>+D20</f>
        <v>0</v>
      </c>
      <c r="G20" s="913"/>
      <c r="H20" s="913"/>
      <c r="I20" s="914"/>
      <c r="J20" s="914"/>
    </row>
    <row r="21" spans="2:12" x14ac:dyDescent="0.25">
      <c r="B21" s="44">
        <f>+B20+1</f>
        <v>13</v>
      </c>
      <c r="C21" s="45" t="s">
        <v>130</v>
      </c>
      <c r="D21" s="910">
        <v>146164</v>
      </c>
      <c r="E21" s="913"/>
      <c r="F21" s="910">
        <f>+D21-I21</f>
        <v>116798</v>
      </c>
      <c r="G21" s="913"/>
      <c r="H21" s="913"/>
      <c r="I21" s="914">
        <v>29366</v>
      </c>
      <c r="J21" s="914"/>
    </row>
    <row r="22" spans="2:12" x14ac:dyDescent="0.25">
      <c r="B22" s="44">
        <f t="shared" si="0"/>
        <v>14</v>
      </c>
      <c r="C22" s="45" t="s">
        <v>131</v>
      </c>
      <c r="D22" s="910">
        <v>10155</v>
      </c>
      <c r="E22" s="913"/>
      <c r="F22" s="910">
        <f>+D22</f>
        <v>10155</v>
      </c>
      <c r="G22" s="913"/>
      <c r="H22" s="913"/>
      <c r="I22" s="914"/>
      <c r="J22" s="914"/>
    </row>
    <row r="23" spans="2:12" x14ac:dyDescent="0.25">
      <c r="B23" s="47"/>
      <c r="C23" s="48" t="s">
        <v>132</v>
      </c>
      <c r="D23" s="910">
        <f>SUM(D9:D22)</f>
        <v>9803778</v>
      </c>
      <c r="E23" s="913"/>
      <c r="F23" s="910">
        <f t="shared" ref="F23:J23" si="1">SUM(F9:F22)</f>
        <v>5377130.5480000004</v>
      </c>
      <c r="G23" s="910">
        <f t="shared" si="1"/>
        <v>0</v>
      </c>
      <c r="H23" s="910">
        <f t="shared" si="1"/>
        <v>0</v>
      </c>
      <c r="I23" s="910">
        <f t="shared" si="1"/>
        <v>3443134</v>
      </c>
      <c r="J23" s="910">
        <f t="shared" si="1"/>
        <v>983513.45200000005</v>
      </c>
      <c r="L23" s="353"/>
    </row>
    <row r="24" spans="2:12" x14ac:dyDescent="0.25">
      <c r="B24" s="44"/>
      <c r="C24" s="45"/>
      <c r="D24" s="911"/>
      <c r="E24" s="554"/>
      <c r="F24" s="554"/>
      <c r="G24" s="554"/>
      <c r="H24" s="554"/>
      <c r="I24" s="675"/>
      <c r="J24" s="675"/>
    </row>
    <row r="25" spans="2:12" ht="45" x14ac:dyDescent="0.25">
      <c r="B25" s="44"/>
      <c r="C25" s="42" t="s">
        <v>133</v>
      </c>
      <c r="D25" s="912"/>
      <c r="E25" s="676"/>
      <c r="F25" s="676"/>
      <c r="G25" s="676"/>
      <c r="H25" s="676"/>
      <c r="I25" s="676"/>
      <c r="J25" s="676"/>
    </row>
    <row r="26" spans="2:12" x14ac:dyDescent="0.25">
      <c r="B26" s="49" t="s">
        <v>134</v>
      </c>
      <c r="C26" s="45" t="s">
        <v>135</v>
      </c>
      <c r="D26" s="910">
        <v>199554</v>
      </c>
      <c r="E26" s="913"/>
      <c r="F26" s="913"/>
      <c r="G26" s="913"/>
      <c r="H26" s="913"/>
      <c r="I26" s="914"/>
      <c r="J26" s="914">
        <f>+D26</f>
        <v>199554</v>
      </c>
    </row>
    <row r="27" spans="2:12" x14ac:dyDescent="0.25">
      <c r="B27" s="49">
        <f>+B26+1</f>
        <v>2</v>
      </c>
      <c r="C27" s="45" t="s">
        <v>136</v>
      </c>
      <c r="D27" s="910">
        <v>7203781</v>
      </c>
      <c r="E27" s="913"/>
      <c r="F27" s="913"/>
      <c r="G27" s="913"/>
      <c r="H27" s="913"/>
      <c r="I27" s="914"/>
      <c r="J27" s="914">
        <f t="shared" ref="J27:J37" si="2">+D27</f>
        <v>7203781</v>
      </c>
    </row>
    <row r="28" spans="2:12" x14ac:dyDescent="0.25">
      <c r="B28" s="49">
        <f t="shared" ref="B28:B37" si="3">+B27+1</f>
        <v>3</v>
      </c>
      <c r="C28" s="45" t="s">
        <v>137</v>
      </c>
      <c r="D28" s="910">
        <v>846694</v>
      </c>
      <c r="E28" s="913"/>
      <c r="F28" s="913"/>
      <c r="G28" s="913"/>
      <c r="H28" s="913"/>
      <c r="I28" s="914"/>
      <c r="J28" s="914">
        <f t="shared" si="2"/>
        <v>846694</v>
      </c>
    </row>
    <row r="29" spans="2:12" x14ac:dyDescent="0.25">
      <c r="B29" s="49">
        <f t="shared" si="3"/>
        <v>4</v>
      </c>
      <c r="C29" s="45" t="s">
        <v>1495</v>
      </c>
      <c r="D29" s="910">
        <v>0</v>
      </c>
      <c r="E29" s="913"/>
      <c r="F29" s="913"/>
      <c r="G29" s="913"/>
      <c r="H29" s="913"/>
      <c r="I29" s="914"/>
      <c r="J29" s="914">
        <f t="shared" si="2"/>
        <v>0</v>
      </c>
    </row>
    <row r="30" spans="2:12" x14ac:dyDescent="0.25">
      <c r="B30" s="49">
        <f t="shared" si="3"/>
        <v>5</v>
      </c>
      <c r="C30" s="45" t="s">
        <v>138</v>
      </c>
      <c r="D30" s="910">
        <v>59791</v>
      </c>
      <c r="E30" s="913"/>
      <c r="F30" s="913"/>
      <c r="G30" s="913"/>
      <c r="H30" s="913"/>
      <c r="I30" s="914"/>
      <c r="J30" s="914">
        <f t="shared" si="2"/>
        <v>59791</v>
      </c>
    </row>
    <row r="31" spans="2:12" x14ac:dyDescent="0.25">
      <c r="B31" s="49">
        <f t="shared" si="3"/>
        <v>6</v>
      </c>
      <c r="C31" s="45" t="s">
        <v>131</v>
      </c>
      <c r="D31" s="910">
        <v>17118</v>
      </c>
      <c r="E31" s="913"/>
      <c r="F31" s="913"/>
      <c r="G31" s="913"/>
      <c r="H31" s="913"/>
      <c r="I31" s="914"/>
      <c r="J31" s="914">
        <f t="shared" si="2"/>
        <v>17118</v>
      </c>
    </row>
    <row r="32" spans="2:12" x14ac:dyDescent="0.25">
      <c r="B32" s="49">
        <f t="shared" si="3"/>
        <v>7</v>
      </c>
      <c r="C32" s="45" t="s">
        <v>1588</v>
      </c>
      <c r="D32" s="910">
        <v>46417</v>
      </c>
      <c r="E32" s="913"/>
      <c r="F32" s="913"/>
      <c r="G32" s="913"/>
      <c r="H32" s="913"/>
      <c r="I32" s="914"/>
      <c r="J32" s="914">
        <f t="shared" si="2"/>
        <v>46417</v>
      </c>
    </row>
    <row r="33" spans="2:10" x14ac:dyDescent="0.25">
      <c r="B33" s="915">
        <f>+B32+1</f>
        <v>8</v>
      </c>
      <c r="C33" s="45" t="s">
        <v>139</v>
      </c>
      <c r="D33" s="910">
        <v>75810</v>
      </c>
      <c r="E33" s="913"/>
      <c r="F33" s="913"/>
      <c r="G33" s="913"/>
      <c r="H33" s="913"/>
      <c r="I33" s="914"/>
      <c r="J33" s="914">
        <f t="shared" si="2"/>
        <v>75810</v>
      </c>
    </row>
    <row r="34" spans="2:10" x14ac:dyDescent="0.25">
      <c r="B34" s="49">
        <f t="shared" si="3"/>
        <v>9</v>
      </c>
      <c r="C34" s="45" t="s">
        <v>140</v>
      </c>
      <c r="D34" s="910">
        <v>3718</v>
      </c>
      <c r="E34" s="913"/>
      <c r="F34" s="913"/>
      <c r="G34" s="913"/>
      <c r="H34" s="913"/>
      <c r="I34" s="914"/>
      <c r="J34" s="914">
        <f t="shared" si="2"/>
        <v>3718</v>
      </c>
    </row>
    <row r="35" spans="2:10" x14ac:dyDescent="0.25">
      <c r="B35" s="49">
        <f t="shared" si="3"/>
        <v>10</v>
      </c>
      <c r="C35" s="45" t="s">
        <v>141</v>
      </c>
      <c r="D35" s="910">
        <v>-610</v>
      </c>
      <c r="E35" s="913"/>
      <c r="F35" s="913"/>
      <c r="G35" s="913"/>
      <c r="H35" s="913"/>
      <c r="I35" s="914"/>
      <c r="J35" s="914">
        <f t="shared" si="2"/>
        <v>-610</v>
      </c>
    </row>
    <row r="36" spans="2:10" x14ac:dyDescent="0.25">
      <c r="B36" s="49">
        <f t="shared" si="3"/>
        <v>11</v>
      </c>
      <c r="C36" s="45" t="s">
        <v>142</v>
      </c>
      <c r="D36" s="910">
        <v>1310596</v>
      </c>
      <c r="E36" s="913"/>
      <c r="F36" s="913"/>
      <c r="G36" s="913"/>
      <c r="H36" s="913"/>
      <c r="I36" s="914"/>
      <c r="J36" s="914">
        <f t="shared" si="2"/>
        <v>1310596</v>
      </c>
    </row>
    <row r="37" spans="2:10" x14ac:dyDescent="0.25">
      <c r="B37" s="49">
        <f t="shared" si="3"/>
        <v>12</v>
      </c>
      <c r="C37" s="45" t="s">
        <v>143</v>
      </c>
      <c r="D37" s="910">
        <v>40909</v>
      </c>
      <c r="E37" s="913"/>
      <c r="F37" s="913"/>
      <c r="G37" s="913"/>
      <c r="H37" s="913"/>
      <c r="I37" s="914"/>
      <c r="J37" s="914">
        <f t="shared" si="2"/>
        <v>40909</v>
      </c>
    </row>
    <row r="38" spans="2:10" x14ac:dyDescent="0.25">
      <c r="B38" s="50"/>
      <c r="C38" s="48" t="s">
        <v>144</v>
      </c>
      <c r="D38" s="910">
        <f>SUM(D26:D37)</f>
        <v>9803778</v>
      </c>
      <c r="E38" s="913"/>
      <c r="F38" s="913"/>
      <c r="G38" s="913"/>
      <c r="H38" s="913"/>
      <c r="I38" s="914"/>
      <c r="J38" s="914">
        <f>SUM(J26:J37)</f>
        <v>9803778</v>
      </c>
    </row>
    <row r="39" spans="2:10" x14ac:dyDescent="0.25">
      <c r="C39" s="960"/>
      <c r="D39" s="960"/>
    </row>
    <row r="40" spans="2:10" x14ac:dyDescent="0.25">
      <c r="C40" s="960"/>
      <c r="D40" s="960"/>
    </row>
    <row r="41" spans="2:10" x14ac:dyDescent="0.25">
      <c r="C41" s="961"/>
      <c r="D41" s="961"/>
    </row>
    <row r="42" spans="2:10" x14ac:dyDescent="0.25">
      <c r="C42" s="952"/>
      <c r="D42" s="952"/>
    </row>
    <row r="43" spans="2:10" x14ac:dyDescent="0.25">
      <c r="C43" s="962"/>
      <c r="D43" s="962"/>
    </row>
    <row r="44" spans="2:10" x14ac:dyDescent="0.25">
      <c r="C44" s="962"/>
      <c r="D44" s="962"/>
    </row>
    <row r="45" spans="2:10" x14ac:dyDescent="0.25">
      <c r="C45" s="951"/>
      <c r="D45" s="951"/>
    </row>
    <row r="46" spans="2:10" x14ac:dyDescent="0.25">
      <c r="C46" s="951"/>
      <c r="D46" s="951"/>
    </row>
    <row r="47" spans="2:10" x14ac:dyDescent="0.25">
      <c r="C47" s="950"/>
      <c r="D47" s="950"/>
    </row>
    <row r="48" spans="2:10" x14ac:dyDescent="0.25">
      <c r="C48" s="951"/>
      <c r="D48" s="951"/>
    </row>
    <row r="49" spans="3:4" x14ac:dyDescent="0.25">
      <c r="C49" s="950"/>
      <c r="D49" s="950"/>
    </row>
    <row r="50" spans="3:4" x14ac:dyDescent="0.25">
      <c r="C50" s="951"/>
      <c r="D50" s="951"/>
    </row>
    <row r="51" spans="3:4" x14ac:dyDescent="0.25">
      <c r="C51" s="950"/>
      <c r="D51" s="950"/>
    </row>
    <row r="52" spans="3:4" x14ac:dyDescent="0.25">
      <c r="C52" s="951"/>
      <c r="D52" s="951"/>
    </row>
    <row r="53" spans="3:4" x14ac:dyDescent="0.25">
      <c r="C53" s="950"/>
      <c r="D53" s="950"/>
    </row>
    <row r="54" spans="3:4" x14ac:dyDescent="0.25">
      <c r="C54" s="952"/>
      <c r="D54" s="952"/>
    </row>
    <row r="55" spans="3:4" x14ac:dyDescent="0.25">
      <c r="C55" s="950"/>
      <c r="D55" s="950"/>
    </row>
    <row r="56" spans="3:4" x14ac:dyDescent="0.25">
      <c r="C56" s="951"/>
      <c r="D56" s="951"/>
    </row>
    <row r="57" spans="3:4" x14ac:dyDescent="0.25">
      <c r="C57" s="951"/>
      <c r="D57" s="951"/>
    </row>
    <row r="58" spans="3:4" x14ac:dyDescent="0.25">
      <c r="C58" s="951"/>
      <c r="D58" s="951"/>
    </row>
    <row r="59" spans="3:4" x14ac:dyDescent="0.25">
      <c r="C59" s="950"/>
      <c r="D59" s="950"/>
    </row>
  </sheetData>
  <mergeCells count="24">
    <mergeCell ref="C47:D47"/>
    <mergeCell ref="D6:D7"/>
    <mergeCell ref="E6:E7"/>
    <mergeCell ref="F6:J6"/>
    <mergeCell ref="C39:D39"/>
    <mergeCell ref="C40:D40"/>
    <mergeCell ref="C41:D41"/>
    <mergeCell ref="C42:D42"/>
    <mergeCell ref="C43:D43"/>
    <mergeCell ref="C44:D44"/>
    <mergeCell ref="C45:D45"/>
    <mergeCell ref="C46:D46"/>
    <mergeCell ref="C59:D59"/>
    <mergeCell ref="C48:D48"/>
    <mergeCell ref="C49:D49"/>
    <mergeCell ref="C50:D50"/>
    <mergeCell ref="C51:D51"/>
    <mergeCell ref="C52:D52"/>
    <mergeCell ref="C53:D53"/>
    <mergeCell ref="C54:D54"/>
    <mergeCell ref="C55:D55"/>
    <mergeCell ref="C56:D56"/>
    <mergeCell ref="C57:D57"/>
    <mergeCell ref="C58:D58"/>
  </mergeCells>
  <hyperlinks>
    <hyperlink ref="B2" location="Indhold!B7" display="Skema EU LI1 – Forskelle mellem de regnskabsmæssige rammer og rammerne for tilsynsmæssig konsolidering og sammenstilling af regnskabskategorierne og lovmæssigt fastsatte risikokategorier " xr:uid="{404A71B7-497E-486B-A1A3-1765A5F30784}"/>
  </hyperlinks>
  <pageMargins left="0.7" right="0.7" top="0.75" bottom="0.75" header="0.3" footer="0.3"/>
  <pageSetup paperSize="9" scale="65" orientation="landscape" horizontalDpi="1200" verticalDpi="1200" r:id="rId1"/>
  <headerFooter>
    <oddHeader>&amp;CDA
Bilag V</oddHeader>
    <oddFooter>&amp;C&amp;P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5936B-B16F-41E3-BC8D-7BB8E44F1511}">
  <sheetPr>
    <tabColor rgb="FFFF0000"/>
    <pageSetUpPr fitToPage="1"/>
  </sheetPr>
  <dimension ref="A1:N50"/>
  <sheetViews>
    <sheetView showGridLines="0" zoomScaleNormal="100" workbookViewId="0"/>
  </sheetViews>
  <sheetFormatPr defaultColWidth="9.140625" defaultRowHeight="15" x14ac:dyDescent="0.25"/>
  <cols>
    <col min="1" max="1" width="16" customWidth="1"/>
    <col min="2" max="2" width="20" customWidth="1"/>
    <col min="3" max="3" width="13.7109375" customWidth="1"/>
    <col min="4" max="4" width="13.5703125" customWidth="1"/>
    <col min="5" max="5" width="15.140625" customWidth="1"/>
    <col min="6" max="6" width="19.42578125" customWidth="1"/>
    <col min="7" max="7" width="14.140625" customWidth="1"/>
    <col min="8" max="8" width="11.28515625" customWidth="1"/>
    <col min="9" max="9" width="14.42578125" customWidth="1"/>
    <col min="10" max="10" width="17.5703125" customWidth="1"/>
    <col min="11" max="11" width="15.140625" customWidth="1"/>
    <col min="12" max="12" width="15.5703125" customWidth="1"/>
    <col min="13" max="13" width="15.7109375" customWidth="1"/>
    <col min="14" max="14" width="12.7109375" customWidth="1"/>
  </cols>
  <sheetData>
    <row r="1" spans="1:14" x14ac:dyDescent="0.25">
      <c r="A1" s="866" t="s">
        <v>764</v>
      </c>
      <c r="M1" s="84"/>
    </row>
    <row r="3" spans="1:14" x14ac:dyDescent="0.25">
      <c r="A3" s="14"/>
    </row>
    <row r="4" spans="1:14" ht="120" x14ac:dyDescent="0.25">
      <c r="A4" s="1288" t="s">
        <v>765</v>
      </c>
      <c r="B4" s="239" t="s">
        <v>766</v>
      </c>
      <c r="C4" s="239" t="s">
        <v>661</v>
      </c>
      <c r="D4" s="239" t="s">
        <v>1264</v>
      </c>
      <c r="E4" s="6" t="s">
        <v>1265</v>
      </c>
      <c r="F4" s="6" t="s">
        <v>1266</v>
      </c>
      <c r="G4" s="6" t="s">
        <v>1267</v>
      </c>
      <c r="H4" s="6" t="s">
        <v>770</v>
      </c>
      <c r="I4" s="6" t="s">
        <v>1268</v>
      </c>
      <c r="J4" s="6" t="s">
        <v>1269</v>
      </c>
      <c r="K4" s="239" t="s">
        <v>773</v>
      </c>
      <c r="L4" s="239" t="s">
        <v>774</v>
      </c>
      <c r="M4" s="239" t="s">
        <v>775</v>
      </c>
      <c r="N4" s="239" t="s">
        <v>1270</v>
      </c>
    </row>
    <row r="5" spans="1:14" x14ac:dyDescent="0.25">
      <c r="A5" s="1289"/>
      <c r="B5" s="44" t="s">
        <v>103</v>
      </c>
      <c r="C5" s="44" t="s">
        <v>102</v>
      </c>
      <c r="D5" s="44" t="s">
        <v>97</v>
      </c>
      <c r="E5" s="44" t="s">
        <v>96</v>
      </c>
      <c r="F5" s="44" t="s">
        <v>95</v>
      </c>
      <c r="G5" s="44" t="s">
        <v>111</v>
      </c>
      <c r="H5" s="44" t="s">
        <v>112</v>
      </c>
      <c r="I5" s="44" t="s">
        <v>164</v>
      </c>
      <c r="J5" s="44" t="s">
        <v>323</v>
      </c>
      <c r="K5" s="44" t="s">
        <v>324</v>
      </c>
      <c r="L5" s="44" t="s">
        <v>325</v>
      </c>
      <c r="M5" s="44" t="s">
        <v>326</v>
      </c>
      <c r="N5" s="44" t="s">
        <v>327</v>
      </c>
    </row>
    <row r="6" spans="1:14" ht="30" x14ac:dyDescent="0.25">
      <c r="A6" s="247" t="s">
        <v>777</v>
      </c>
      <c r="B6" s="248"/>
      <c r="C6" s="249"/>
      <c r="D6" s="250"/>
      <c r="E6" s="250"/>
      <c r="F6" s="250"/>
      <c r="G6" s="250"/>
      <c r="H6" s="250"/>
      <c r="I6" s="250"/>
      <c r="J6" s="250"/>
      <c r="K6" s="250"/>
      <c r="L6" s="250"/>
      <c r="M6" s="250"/>
      <c r="N6" s="250"/>
    </row>
    <row r="7" spans="1:14" x14ac:dyDescent="0.25">
      <c r="A7" s="251"/>
      <c r="B7" s="252" t="s">
        <v>778</v>
      </c>
      <c r="C7" s="249"/>
      <c r="D7" s="250"/>
      <c r="E7" s="250"/>
      <c r="F7" s="250"/>
      <c r="G7" s="250"/>
      <c r="H7" s="250"/>
      <c r="I7" s="250"/>
      <c r="J7" s="250"/>
      <c r="K7" s="250"/>
      <c r="L7" s="250"/>
      <c r="M7" s="250"/>
      <c r="N7" s="250"/>
    </row>
    <row r="8" spans="1:14" x14ac:dyDescent="0.25">
      <c r="A8" s="253"/>
      <c r="B8" s="254" t="s">
        <v>779</v>
      </c>
      <c r="C8" s="249"/>
      <c r="D8" s="250"/>
      <c r="E8" s="250"/>
      <c r="F8" s="250"/>
      <c r="G8" s="250"/>
      <c r="H8" s="250"/>
      <c r="I8" s="250"/>
      <c r="J8" s="250"/>
      <c r="K8" s="250"/>
      <c r="L8" s="250"/>
      <c r="M8" s="250"/>
      <c r="N8" s="250"/>
    </row>
    <row r="9" spans="1:14" x14ac:dyDescent="0.25">
      <c r="A9" s="253"/>
      <c r="B9" s="254" t="s">
        <v>780</v>
      </c>
      <c r="C9" s="249"/>
      <c r="D9" s="250"/>
      <c r="E9" s="250"/>
      <c r="F9" s="250"/>
      <c r="G9" s="250"/>
      <c r="H9" s="250"/>
      <c r="I9" s="250"/>
      <c r="J9" s="250"/>
      <c r="K9" s="250"/>
      <c r="L9" s="250"/>
      <c r="M9" s="250"/>
      <c r="N9" s="250"/>
    </row>
    <row r="10" spans="1:14" x14ac:dyDescent="0.25">
      <c r="A10" s="253"/>
      <c r="B10" s="252" t="s">
        <v>781</v>
      </c>
      <c r="C10" s="249"/>
      <c r="D10" s="250"/>
      <c r="E10" s="250"/>
      <c r="F10" s="250"/>
      <c r="G10" s="250"/>
      <c r="H10" s="250"/>
      <c r="I10" s="250"/>
      <c r="J10" s="250"/>
      <c r="K10" s="250"/>
      <c r="L10" s="250"/>
      <c r="M10" s="250"/>
      <c r="N10" s="250"/>
    </row>
    <row r="11" spans="1:14" x14ac:dyDescent="0.25">
      <c r="A11" s="253"/>
      <c r="B11" s="252" t="s">
        <v>782</v>
      </c>
      <c r="C11" s="249"/>
      <c r="D11" s="250"/>
      <c r="E11" s="250"/>
      <c r="F11" s="250"/>
      <c r="G11" s="250"/>
      <c r="H11" s="250"/>
      <c r="I11" s="250"/>
      <c r="J11" s="250"/>
      <c r="K11" s="250"/>
      <c r="L11" s="250"/>
      <c r="M11" s="250"/>
      <c r="N11" s="250"/>
    </row>
    <row r="12" spans="1:14" x14ac:dyDescent="0.25">
      <c r="A12" s="253"/>
      <c r="B12" s="252" t="s">
        <v>783</v>
      </c>
      <c r="C12" s="249"/>
      <c r="D12" s="250"/>
      <c r="E12" s="250"/>
      <c r="F12" s="250"/>
      <c r="G12" s="250"/>
      <c r="H12" s="250"/>
      <c r="I12" s="250"/>
      <c r="J12" s="250"/>
      <c r="K12" s="250"/>
      <c r="L12" s="250"/>
      <c r="M12" s="250"/>
      <c r="N12" s="250"/>
    </row>
    <row r="13" spans="1:14" x14ac:dyDescent="0.25">
      <c r="A13" s="253"/>
      <c r="B13" s="252" t="s">
        <v>784</v>
      </c>
      <c r="C13" s="249"/>
      <c r="D13" s="250"/>
      <c r="E13" s="250"/>
      <c r="F13" s="250"/>
      <c r="G13" s="250"/>
      <c r="H13" s="250"/>
      <c r="I13" s="250"/>
      <c r="J13" s="250"/>
      <c r="K13" s="250"/>
      <c r="L13" s="250"/>
      <c r="M13" s="250"/>
      <c r="N13" s="250"/>
    </row>
    <row r="14" spans="1:14" x14ac:dyDescent="0.25">
      <c r="A14" s="253"/>
      <c r="B14" s="254" t="s">
        <v>785</v>
      </c>
      <c r="C14" s="249"/>
      <c r="D14" s="250"/>
      <c r="E14" s="250"/>
      <c r="F14" s="250"/>
      <c r="G14" s="250"/>
      <c r="H14" s="250"/>
      <c r="I14" s="250"/>
      <c r="J14" s="250"/>
      <c r="K14" s="250"/>
      <c r="L14" s="250"/>
      <c r="M14" s="250"/>
      <c r="N14" s="250"/>
    </row>
    <row r="15" spans="1:14" x14ac:dyDescent="0.25">
      <c r="A15" s="253"/>
      <c r="B15" s="254" t="s">
        <v>786</v>
      </c>
      <c r="C15" s="249"/>
      <c r="D15" s="250"/>
      <c r="E15" s="250"/>
      <c r="F15" s="250"/>
      <c r="G15" s="250"/>
      <c r="H15" s="250"/>
      <c r="I15" s="250"/>
      <c r="J15" s="250"/>
      <c r="K15" s="250"/>
      <c r="L15" s="250"/>
      <c r="M15" s="250"/>
      <c r="N15" s="250"/>
    </row>
    <row r="16" spans="1:14" x14ac:dyDescent="0.25">
      <c r="A16" s="253"/>
      <c r="B16" s="252" t="s">
        <v>787</v>
      </c>
      <c r="C16" s="249"/>
      <c r="D16" s="250"/>
      <c r="E16" s="250"/>
      <c r="F16" s="250"/>
      <c r="G16" s="250"/>
      <c r="H16" s="250"/>
      <c r="I16" s="250"/>
      <c r="J16" s="250"/>
      <c r="K16" s="250"/>
      <c r="L16" s="250"/>
      <c r="M16" s="250"/>
      <c r="N16" s="250"/>
    </row>
    <row r="17" spans="1:14" x14ac:dyDescent="0.25">
      <c r="A17" s="253"/>
      <c r="B17" s="254" t="s">
        <v>788</v>
      </c>
      <c r="C17" s="249"/>
      <c r="D17" s="250"/>
      <c r="E17" s="250"/>
      <c r="F17" s="250"/>
      <c r="G17" s="250"/>
      <c r="H17" s="250"/>
      <c r="I17" s="250"/>
      <c r="J17" s="250"/>
      <c r="K17" s="250"/>
      <c r="L17" s="250"/>
      <c r="M17" s="250"/>
      <c r="N17" s="250"/>
    </row>
    <row r="18" spans="1:14" x14ac:dyDescent="0.25">
      <c r="A18" s="253"/>
      <c r="B18" s="254" t="s">
        <v>789</v>
      </c>
      <c r="C18" s="249"/>
      <c r="D18" s="250"/>
      <c r="E18" s="250"/>
      <c r="F18" s="250"/>
      <c r="G18" s="250"/>
      <c r="H18" s="250"/>
      <c r="I18" s="250"/>
      <c r="J18" s="250"/>
      <c r="K18" s="250"/>
      <c r="L18" s="250"/>
      <c r="M18" s="250"/>
      <c r="N18" s="250"/>
    </row>
    <row r="19" spans="1:14" x14ac:dyDescent="0.25">
      <c r="A19" s="253"/>
      <c r="B19" s="252" t="s">
        <v>790</v>
      </c>
      <c r="C19" s="249"/>
      <c r="D19" s="250"/>
      <c r="E19" s="250"/>
      <c r="F19" s="250"/>
      <c r="G19" s="250"/>
      <c r="H19" s="250"/>
      <c r="I19" s="250"/>
      <c r="J19" s="250"/>
      <c r="K19" s="250"/>
      <c r="L19" s="250"/>
      <c r="M19" s="250"/>
      <c r="N19" s="250"/>
    </row>
    <row r="20" spans="1:14" x14ac:dyDescent="0.25">
      <c r="A20" s="253"/>
      <c r="B20" s="254" t="s">
        <v>791</v>
      </c>
      <c r="C20" s="249"/>
      <c r="D20" s="250"/>
      <c r="E20" s="250"/>
      <c r="F20" s="250"/>
      <c r="G20" s="250"/>
      <c r="H20" s="250"/>
      <c r="I20" s="250"/>
      <c r="J20" s="250"/>
      <c r="K20" s="250"/>
      <c r="L20" s="250"/>
      <c r="M20" s="250"/>
      <c r="N20" s="250"/>
    </row>
    <row r="21" spans="1:14" x14ac:dyDescent="0.25">
      <c r="A21" s="253"/>
      <c r="B21" s="254" t="s">
        <v>792</v>
      </c>
      <c r="C21" s="249"/>
      <c r="D21" s="250"/>
      <c r="E21" s="250"/>
      <c r="F21" s="250"/>
      <c r="G21" s="250"/>
      <c r="H21" s="250"/>
      <c r="I21" s="250"/>
      <c r="J21" s="250"/>
      <c r="K21" s="250"/>
      <c r="L21" s="250"/>
      <c r="M21" s="250"/>
      <c r="N21" s="250"/>
    </row>
    <row r="22" spans="1:14" x14ac:dyDescent="0.25">
      <c r="A22" s="253"/>
      <c r="B22" s="254" t="s">
        <v>793</v>
      </c>
      <c r="C22" s="249"/>
      <c r="D22" s="250"/>
      <c r="E22" s="250"/>
      <c r="F22" s="250"/>
      <c r="G22" s="250"/>
      <c r="H22" s="250"/>
      <c r="I22" s="250"/>
      <c r="J22" s="250"/>
      <c r="K22" s="250"/>
      <c r="L22" s="250"/>
      <c r="M22" s="250"/>
      <c r="N22" s="250"/>
    </row>
    <row r="23" spans="1:14" ht="30" x14ac:dyDescent="0.25">
      <c r="A23" s="255"/>
      <c r="B23" s="252" t="s">
        <v>794</v>
      </c>
      <c r="C23" s="249"/>
      <c r="D23" s="250"/>
      <c r="E23" s="250"/>
      <c r="F23" s="250"/>
      <c r="G23" s="250"/>
      <c r="H23" s="250"/>
      <c r="I23" s="250"/>
      <c r="J23" s="250"/>
      <c r="K23" s="250"/>
      <c r="L23" s="250"/>
      <c r="M23" s="250"/>
      <c r="N23" s="250"/>
    </row>
    <row r="24" spans="1:14" x14ac:dyDescent="0.25">
      <c r="A24" s="1290" t="s">
        <v>795</v>
      </c>
      <c r="B24" s="1291"/>
      <c r="C24" s="250"/>
      <c r="D24" s="250"/>
      <c r="E24" s="250"/>
      <c r="F24" s="250"/>
      <c r="G24" s="250"/>
      <c r="H24" s="250"/>
      <c r="I24" s="250"/>
      <c r="J24" s="250"/>
      <c r="K24" s="250"/>
      <c r="L24" s="250"/>
      <c r="M24" s="250"/>
      <c r="N24" s="250"/>
    </row>
    <row r="25" spans="1:14" x14ac:dyDescent="0.25">
      <c r="A25" s="1286" t="s">
        <v>796</v>
      </c>
      <c r="B25" s="1287"/>
      <c r="C25" s="250"/>
      <c r="D25" s="250"/>
      <c r="E25" s="250"/>
      <c r="F25" s="250"/>
      <c r="G25" s="256"/>
      <c r="H25" s="250"/>
      <c r="I25" s="256"/>
      <c r="J25" s="250"/>
      <c r="K25" s="250"/>
      <c r="L25" s="250"/>
      <c r="M25" s="250"/>
      <c r="N25" s="250"/>
    </row>
    <row r="26" spans="1:14" x14ac:dyDescent="0.25">
      <c r="A26" s="84"/>
      <c r="B26" s="84"/>
      <c r="C26" s="84"/>
      <c r="D26" s="84"/>
      <c r="E26" s="84"/>
      <c r="F26" s="84"/>
      <c r="G26" s="84"/>
      <c r="H26" s="84"/>
      <c r="I26" s="84"/>
      <c r="J26" s="84"/>
      <c r="K26" s="84"/>
      <c r="L26" s="84"/>
      <c r="M26" s="84"/>
      <c r="N26" s="84"/>
    </row>
    <row r="27" spans="1:14" x14ac:dyDescent="0.25">
      <c r="A27" s="84"/>
      <c r="B27" s="84"/>
      <c r="C27" s="84"/>
      <c r="D27" s="84"/>
      <c r="E27" s="84"/>
      <c r="F27" s="84"/>
      <c r="G27" s="84"/>
      <c r="H27" s="84"/>
      <c r="I27" s="84"/>
      <c r="J27" s="84"/>
      <c r="K27" s="84"/>
      <c r="L27" s="84"/>
      <c r="M27" s="84"/>
      <c r="N27" s="84"/>
    </row>
    <row r="28" spans="1:14" x14ac:dyDescent="0.25">
      <c r="A28" s="84"/>
      <c r="B28" s="84"/>
      <c r="C28" s="84"/>
      <c r="D28" s="84"/>
      <c r="E28" s="84"/>
      <c r="F28" s="84"/>
      <c r="G28" s="84"/>
      <c r="H28" s="84"/>
      <c r="I28" s="84"/>
      <c r="J28" s="84"/>
      <c r="K28" s="84"/>
      <c r="L28" s="84"/>
      <c r="M28" s="84"/>
      <c r="N28" s="84"/>
    </row>
    <row r="29" spans="1:14" ht="120" x14ac:dyDescent="0.25">
      <c r="A29" s="1292" t="s">
        <v>797</v>
      </c>
      <c r="B29" s="257" t="s">
        <v>766</v>
      </c>
      <c r="C29" s="239" t="s">
        <v>661</v>
      </c>
      <c r="D29" s="239" t="s">
        <v>767</v>
      </c>
      <c r="E29" s="6" t="s">
        <v>768</v>
      </c>
      <c r="F29" s="6" t="s">
        <v>739</v>
      </c>
      <c r="G29" s="6" t="s">
        <v>769</v>
      </c>
      <c r="H29" s="6" t="s">
        <v>770</v>
      </c>
      <c r="I29" s="6" t="s">
        <v>771</v>
      </c>
      <c r="J29" s="6" t="s">
        <v>772</v>
      </c>
      <c r="K29" s="239" t="s">
        <v>773</v>
      </c>
      <c r="L29" s="239" t="s">
        <v>774</v>
      </c>
      <c r="M29" s="239" t="s">
        <v>775</v>
      </c>
      <c r="N29" s="239" t="s">
        <v>776</v>
      </c>
    </row>
    <row r="30" spans="1:14" x14ac:dyDescent="0.25">
      <c r="A30" s="1293"/>
      <c r="B30" s="258" t="s">
        <v>103</v>
      </c>
      <c r="C30" s="44" t="s">
        <v>102</v>
      </c>
      <c r="D30" s="44" t="s">
        <v>97</v>
      </c>
      <c r="E30" s="44" t="s">
        <v>96</v>
      </c>
      <c r="F30" s="44" t="s">
        <v>95</v>
      </c>
      <c r="G30" s="44" t="s">
        <v>111</v>
      </c>
      <c r="H30" s="44" t="s">
        <v>112</v>
      </c>
      <c r="I30" s="44" t="s">
        <v>164</v>
      </c>
      <c r="J30" s="44" t="s">
        <v>323</v>
      </c>
      <c r="K30" s="44" t="s">
        <v>324</v>
      </c>
      <c r="L30" s="44" t="s">
        <v>325</v>
      </c>
      <c r="M30" s="44" t="s">
        <v>326</v>
      </c>
      <c r="N30" s="44" t="s">
        <v>327</v>
      </c>
    </row>
    <row r="31" spans="1:14" ht="30" x14ac:dyDescent="0.25">
      <c r="A31" s="247" t="s">
        <v>777</v>
      </c>
      <c r="B31" s="248"/>
      <c r="C31" s="249"/>
      <c r="D31" s="250"/>
      <c r="E31" s="250"/>
      <c r="F31" s="250"/>
      <c r="G31" s="250"/>
      <c r="H31" s="250"/>
      <c r="I31" s="250"/>
      <c r="J31" s="250"/>
      <c r="K31" s="250"/>
      <c r="L31" s="250"/>
      <c r="M31" s="250"/>
      <c r="N31" s="250"/>
    </row>
    <row r="32" spans="1:14" x14ac:dyDescent="0.25">
      <c r="A32" s="251"/>
      <c r="B32" s="252" t="s">
        <v>778</v>
      </c>
      <c r="C32" s="249"/>
      <c r="D32" s="250"/>
      <c r="E32" s="250"/>
      <c r="F32" s="250"/>
      <c r="G32" s="250"/>
      <c r="H32" s="250"/>
      <c r="I32" s="250"/>
      <c r="J32" s="250"/>
      <c r="K32" s="250"/>
      <c r="L32" s="250"/>
      <c r="M32" s="250"/>
      <c r="N32" s="250"/>
    </row>
    <row r="33" spans="1:14" x14ac:dyDescent="0.25">
      <c r="A33" s="253"/>
      <c r="B33" s="254" t="s">
        <v>779</v>
      </c>
      <c r="C33" s="249"/>
      <c r="D33" s="250"/>
      <c r="E33" s="250"/>
      <c r="F33" s="250"/>
      <c r="G33" s="250"/>
      <c r="H33" s="250"/>
      <c r="I33" s="250"/>
      <c r="J33" s="250"/>
      <c r="K33" s="250"/>
      <c r="L33" s="250"/>
      <c r="M33" s="250"/>
      <c r="N33" s="250"/>
    </row>
    <row r="34" spans="1:14" x14ac:dyDescent="0.25">
      <c r="A34" s="253"/>
      <c r="B34" s="254" t="s">
        <v>780</v>
      </c>
      <c r="C34" s="249"/>
      <c r="D34" s="250"/>
      <c r="E34" s="250"/>
      <c r="F34" s="250"/>
      <c r="G34" s="250"/>
      <c r="H34" s="250"/>
      <c r="I34" s="250"/>
      <c r="J34" s="250"/>
      <c r="K34" s="250"/>
      <c r="L34" s="250"/>
      <c r="M34" s="250"/>
      <c r="N34" s="250"/>
    </row>
    <row r="35" spans="1:14" x14ac:dyDescent="0.25">
      <c r="A35" s="253"/>
      <c r="B35" s="252" t="s">
        <v>781</v>
      </c>
      <c r="C35" s="249"/>
      <c r="D35" s="250"/>
      <c r="E35" s="250"/>
      <c r="F35" s="250"/>
      <c r="G35" s="250"/>
      <c r="H35" s="250"/>
      <c r="I35" s="250"/>
      <c r="J35" s="250"/>
      <c r="K35" s="250"/>
      <c r="L35" s="250"/>
      <c r="M35" s="250"/>
      <c r="N35" s="250"/>
    </row>
    <row r="36" spans="1:14" x14ac:dyDescent="0.25">
      <c r="A36" s="253"/>
      <c r="B36" s="252" t="s">
        <v>782</v>
      </c>
      <c r="C36" s="249"/>
      <c r="D36" s="250"/>
      <c r="E36" s="250"/>
      <c r="F36" s="250"/>
      <c r="G36" s="250"/>
      <c r="H36" s="250"/>
      <c r="I36" s="250"/>
      <c r="J36" s="250"/>
      <c r="K36" s="250"/>
      <c r="L36" s="250"/>
      <c r="M36" s="250"/>
      <c r="N36" s="250"/>
    </row>
    <row r="37" spans="1:14" x14ac:dyDescent="0.25">
      <c r="A37" s="253"/>
      <c r="B37" s="252" t="s">
        <v>783</v>
      </c>
      <c r="C37" s="249"/>
      <c r="D37" s="250"/>
      <c r="E37" s="250"/>
      <c r="F37" s="250"/>
      <c r="G37" s="250"/>
      <c r="H37" s="250"/>
      <c r="I37" s="250"/>
      <c r="J37" s="250"/>
      <c r="K37" s="250"/>
      <c r="L37" s="250"/>
      <c r="M37" s="250"/>
      <c r="N37" s="250"/>
    </row>
    <row r="38" spans="1:14" x14ac:dyDescent="0.25">
      <c r="A38" s="253"/>
      <c r="B38" s="252" t="s">
        <v>784</v>
      </c>
      <c r="C38" s="249"/>
      <c r="D38" s="250"/>
      <c r="E38" s="250"/>
      <c r="F38" s="250"/>
      <c r="G38" s="250"/>
      <c r="H38" s="250"/>
      <c r="I38" s="250"/>
      <c r="J38" s="250"/>
      <c r="K38" s="250"/>
      <c r="L38" s="250"/>
      <c r="M38" s="250"/>
      <c r="N38" s="250"/>
    </row>
    <row r="39" spans="1:14" x14ac:dyDescent="0.25">
      <c r="A39" s="253"/>
      <c r="B39" s="254" t="s">
        <v>785</v>
      </c>
      <c r="C39" s="249"/>
      <c r="D39" s="250"/>
      <c r="E39" s="250"/>
      <c r="F39" s="250"/>
      <c r="G39" s="250"/>
      <c r="H39" s="250"/>
      <c r="I39" s="250"/>
      <c r="J39" s="250"/>
      <c r="K39" s="250"/>
      <c r="L39" s="250"/>
      <c r="M39" s="250"/>
      <c r="N39" s="250"/>
    </row>
    <row r="40" spans="1:14" x14ac:dyDescent="0.25">
      <c r="A40" s="253"/>
      <c r="B40" s="254" t="s">
        <v>786</v>
      </c>
      <c r="C40" s="249"/>
      <c r="D40" s="250"/>
      <c r="E40" s="250"/>
      <c r="F40" s="250"/>
      <c r="G40" s="250"/>
      <c r="H40" s="250"/>
      <c r="I40" s="250"/>
      <c r="J40" s="250"/>
      <c r="K40" s="250"/>
      <c r="L40" s="250"/>
      <c r="M40" s="250"/>
      <c r="N40" s="250"/>
    </row>
    <row r="41" spans="1:14" x14ac:dyDescent="0.25">
      <c r="A41" s="253"/>
      <c r="B41" s="252" t="s">
        <v>787</v>
      </c>
      <c r="C41" s="249"/>
      <c r="D41" s="250"/>
      <c r="E41" s="250"/>
      <c r="F41" s="250"/>
      <c r="G41" s="250"/>
      <c r="H41" s="250"/>
      <c r="I41" s="250"/>
      <c r="J41" s="250"/>
      <c r="K41" s="250"/>
      <c r="L41" s="250"/>
      <c r="M41" s="250"/>
      <c r="N41" s="250"/>
    </row>
    <row r="42" spans="1:14" x14ac:dyDescent="0.25">
      <c r="A42" s="253"/>
      <c r="B42" s="254" t="s">
        <v>788</v>
      </c>
      <c r="C42" s="249"/>
      <c r="D42" s="250"/>
      <c r="E42" s="250"/>
      <c r="F42" s="250"/>
      <c r="G42" s="250"/>
      <c r="H42" s="250"/>
      <c r="I42" s="250"/>
      <c r="J42" s="250"/>
      <c r="K42" s="250"/>
      <c r="L42" s="250"/>
      <c r="M42" s="250"/>
      <c r="N42" s="250"/>
    </row>
    <row r="43" spans="1:14" x14ac:dyDescent="0.25">
      <c r="A43" s="253"/>
      <c r="B43" s="254" t="s">
        <v>789</v>
      </c>
      <c r="C43" s="249"/>
      <c r="D43" s="250"/>
      <c r="E43" s="250"/>
      <c r="F43" s="250"/>
      <c r="G43" s="250"/>
      <c r="H43" s="250"/>
      <c r="I43" s="250"/>
      <c r="J43" s="250"/>
      <c r="K43" s="250"/>
      <c r="L43" s="250"/>
      <c r="M43" s="250"/>
      <c r="N43" s="250"/>
    </row>
    <row r="44" spans="1:14" x14ac:dyDescent="0.25">
      <c r="A44" s="253"/>
      <c r="B44" s="252" t="s">
        <v>790</v>
      </c>
      <c r="C44" s="249"/>
      <c r="D44" s="250"/>
      <c r="E44" s="250"/>
      <c r="F44" s="250"/>
      <c r="G44" s="250"/>
      <c r="H44" s="250"/>
      <c r="I44" s="250"/>
      <c r="J44" s="250"/>
      <c r="K44" s="250"/>
      <c r="L44" s="250"/>
      <c r="M44" s="250"/>
      <c r="N44" s="250"/>
    </row>
    <row r="45" spans="1:14" x14ac:dyDescent="0.25">
      <c r="A45" s="253"/>
      <c r="B45" s="254" t="s">
        <v>791</v>
      </c>
      <c r="C45" s="249"/>
      <c r="D45" s="250"/>
      <c r="E45" s="250"/>
      <c r="F45" s="250"/>
      <c r="G45" s="250"/>
      <c r="H45" s="250"/>
      <c r="I45" s="250"/>
      <c r="J45" s="250"/>
      <c r="K45" s="250"/>
      <c r="L45" s="250"/>
      <c r="M45" s="250"/>
      <c r="N45" s="250"/>
    </row>
    <row r="46" spans="1:14" x14ac:dyDescent="0.25">
      <c r="A46" s="253"/>
      <c r="B46" s="254" t="s">
        <v>792</v>
      </c>
      <c r="C46" s="249"/>
      <c r="D46" s="250"/>
      <c r="E46" s="250"/>
      <c r="F46" s="250"/>
      <c r="G46" s="250"/>
      <c r="H46" s="250"/>
      <c r="I46" s="250"/>
      <c r="J46" s="250"/>
      <c r="K46" s="250"/>
      <c r="L46" s="250"/>
      <c r="M46" s="250"/>
      <c r="N46" s="250"/>
    </row>
    <row r="47" spans="1:14" x14ac:dyDescent="0.25">
      <c r="A47" s="253"/>
      <c r="B47" s="254" t="s">
        <v>793</v>
      </c>
      <c r="C47" s="249"/>
      <c r="D47" s="250"/>
      <c r="E47" s="250"/>
      <c r="F47" s="250"/>
      <c r="G47" s="250"/>
      <c r="H47" s="250"/>
      <c r="I47" s="250"/>
      <c r="J47" s="250"/>
      <c r="K47" s="250"/>
      <c r="L47" s="250"/>
      <c r="M47" s="250"/>
      <c r="N47" s="250"/>
    </row>
    <row r="48" spans="1:14" ht="30" x14ac:dyDescent="0.25">
      <c r="A48" s="255"/>
      <c r="B48" s="252" t="s">
        <v>794</v>
      </c>
      <c r="C48" s="249"/>
      <c r="D48" s="250"/>
      <c r="E48" s="250"/>
      <c r="F48" s="250"/>
      <c r="G48" s="250"/>
      <c r="H48" s="250"/>
      <c r="I48" s="250"/>
      <c r="J48" s="250"/>
      <c r="K48" s="250"/>
      <c r="L48" s="250"/>
      <c r="M48" s="250"/>
      <c r="N48" s="250"/>
    </row>
    <row r="49" spans="1:14" x14ac:dyDescent="0.25">
      <c r="A49" s="1290" t="s">
        <v>795</v>
      </c>
      <c r="B49" s="1291"/>
      <c r="C49" s="250"/>
      <c r="D49" s="250"/>
      <c r="E49" s="250"/>
      <c r="F49" s="250"/>
      <c r="G49" s="250"/>
      <c r="H49" s="250"/>
      <c r="I49" s="250"/>
      <c r="J49" s="250"/>
      <c r="K49" s="250"/>
      <c r="L49" s="250"/>
      <c r="M49" s="250"/>
      <c r="N49" s="250"/>
    </row>
    <row r="50" spans="1:14" x14ac:dyDescent="0.25">
      <c r="A50" s="1286" t="s">
        <v>796</v>
      </c>
      <c r="B50" s="1287"/>
      <c r="C50" s="250"/>
      <c r="D50" s="250"/>
      <c r="E50" s="250"/>
      <c r="F50" s="250"/>
      <c r="G50" s="256"/>
      <c r="H50" s="250"/>
      <c r="I50" s="256"/>
      <c r="J50" s="250"/>
      <c r="K50" s="250"/>
      <c r="L50" s="250"/>
      <c r="M50" s="250"/>
      <c r="N50" s="250"/>
    </row>
  </sheetData>
  <mergeCells count="6">
    <mergeCell ref="A50:B50"/>
    <mergeCell ref="A4:A5"/>
    <mergeCell ref="A24:B24"/>
    <mergeCell ref="A25:B25"/>
    <mergeCell ref="A29:A30"/>
    <mergeCell ref="A49:B49"/>
  </mergeCells>
  <hyperlinks>
    <hyperlink ref="A1" location="Indhold!B80" display="Skema EU CR6 — IRB-metoden — kreditrisikoeksponeringer efter eksponeringsklasse og PD-interval" xr:uid="{89CA4AC0-6838-403B-AA47-E0A287AB59EB}"/>
  </hyperlinks>
  <pageMargins left="0.70866141732283472" right="0.70866141732283472" top="0.74803149606299213" bottom="0.74803149606299213" header="0.31496062992125984" footer="0.31496062992125984"/>
  <pageSetup paperSize="9" scale="61" fitToHeight="0" orientation="landscape" r:id="rId1"/>
  <headerFooter>
    <oddHeader>&amp;CDA
Bilag XXI</oddHeader>
    <oddFooter>&amp;C&amp;P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8FC56-44E4-4DB4-9F92-433A4195D960}">
  <sheetPr>
    <tabColor rgb="FFFF0000"/>
    <pageSetUpPr autoPageBreaks="0" fitToPage="1"/>
  </sheetPr>
  <dimension ref="B2:J23"/>
  <sheetViews>
    <sheetView showGridLines="0" zoomScaleNormal="100" zoomScaleSheetLayoutView="100" workbookViewId="0">
      <selection activeCell="B2" sqref="B2"/>
    </sheetView>
  </sheetViews>
  <sheetFormatPr defaultColWidth="9.140625" defaultRowHeight="15" x14ac:dyDescent="0.25"/>
  <cols>
    <col min="2" max="2" width="6.7109375" customWidth="1"/>
    <col min="3" max="3" width="47" customWidth="1"/>
    <col min="4" max="4" width="31" customWidth="1"/>
    <col min="5" max="8" width="23.28515625" customWidth="1"/>
  </cols>
  <sheetData>
    <row r="2" spans="2:10" ht="21" x14ac:dyDescent="0.35">
      <c r="B2" s="866" t="s">
        <v>798</v>
      </c>
      <c r="C2" s="259"/>
      <c r="D2" s="259"/>
      <c r="E2" s="260"/>
      <c r="F2" s="260"/>
      <c r="G2" s="260"/>
      <c r="H2" s="260"/>
      <c r="I2" s="260"/>
    </row>
    <row r="4" spans="2:10" x14ac:dyDescent="0.25">
      <c r="B4" s="261"/>
      <c r="C4" s="261"/>
      <c r="D4" s="261"/>
      <c r="E4" s="261"/>
      <c r="F4" s="261"/>
    </row>
    <row r="5" spans="2:10" x14ac:dyDescent="0.25">
      <c r="B5" s="32"/>
      <c r="C5" s="32"/>
      <c r="D5" s="32"/>
      <c r="E5" s="262"/>
      <c r="F5" s="262"/>
      <c r="J5" s="32"/>
    </row>
    <row r="6" spans="2:10" ht="42" x14ac:dyDescent="0.25">
      <c r="B6" s="263"/>
      <c r="C6" s="264"/>
      <c r="D6" s="265" t="s">
        <v>799</v>
      </c>
      <c r="E6" s="266" t="s">
        <v>800</v>
      </c>
      <c r="F6" s="266" t="s">
        <v>801</v>
      </c>
      <c r="G6" s="266" t="s">
        <v>802</v>
      </c>
      <c r="H6" s="266" t="s">
        <v>803</v>
      </c>
    </row>
    <row r="7" spans="2:10" x14ac:dyDescent="0.25">
      <c r="B7" s="263"/>
      <c r="C7" s="263"/>
      <c r="D7" s="267" t="s">
        <v>103</v>
      </c>
      <c r="E7" s="268" t="s">
        <v>102</v>
      </c>
      <c r="F7" s="268" t="s">
        <v>97</v>
      </c>
      <c r="G7" s="268" t="s">
        <v>96</v>
      </c>
      <c r="H7" s="268" t="s">
        <v>95</v>
      </c>
    </row>
    <row r="8" spans="2:10" x14ac:dyDescent="0.25">
      <c r="B8" s="269">
        <v>1</v>
      </c>
      <c r="C8" s="269" t="s">
        <v>804</v>
      </c>
      <c r="D8" s="270"/>
      <c r="E8" s="270"/>
      <c r="F8" s="269"/>
      <c r="G8" s="269"/>
      <c r="H8" s="269"/>
    </row>
    <row r="9" spans="2:10" x14ac:dyDescent="0.25">
      <c r="B9" s="269">
        <v>1.1000000000000001</v>
      </c>
      <c r="C9" s="271" t="s">
        <v>805</v>
      </c>
      <c r="D9" s="272"/>
      <c r="E9" s="269"/>
      <c r="F9" s="269"/>
      <c r="G9" s="269"/>
      <c r="H9" s="269"/>
    </row>
    <row r="10" spans="2:10" x14ac:dyDescent="0.25">
      <c r="B10" s="269">
        <v>1.2</v>
      </c>
      <c r="C10" s="271" t="s">
        <v>806</v>
      </c>
      <c r="D10" s="272"/>
      <c r="E10" s="269"/>
      <c r="F10" s="269"/>
      <c r="G10" s="269"/>
      <c r="H10" s="269"/>
    </row>
    <row r="11" spans="2:10" x14ac:dyDescent="0.25">
      <c r="B11" s="269">
        <v>2</v>
      </c>
      <c r="C11" s="269" t="s">
        <v>476</v>
      </c>
      <c r="D11" s="269"/>
      <c r="E11" s="269"/>
      <c r="F11" s="269"/>
      <c r="G11" s="269"/>
      <c r="H11" s="269"/>
    </row>
    <row r="12" spans="2:10" x14ac:dyDescent="0.25">
      <c r="B12" s="269">
        <v>3</v>
      </c>
      <c r="C12" s="269" t="s">
        <v>482</v>
      </c>
      <c r="D12" s="269"/>
      <c r="E12" s="269"/>
      <c r="F12" s="269"/>
      <c r="G12" s="269"/>
      <c r="H12" s="269"/>
    </row>
    <row r="13" spans="2:10" ht="21" x14ac:dyDescent="0.25">
      <c r="B13" s="269">
        <v>3.1</v>
      </c>
      <c r="C13" s="271" t="s">
        <v>807</v>
      </c>
      <c r="D13" s="272"/>
      <c r="E13" s="269"/>
      <c r="F13" s="269"/>
      <c r="G13" s="269"/>
      <c r="H13" s="269"/>
    </row>
    <row r="14" spans="2:10" ht="21" x14ac:dyDescent="0.25">
      <c r="B14" s="269">
        <v>3.2</v>
      </c>
      <c r="C14" s="271" t="s">
        <v>808</v>
      </c>
      <c r="D14" s="272"/>
      <c r="E14" s="269"/>
      <c r="F14" s="269"/>
      <c r="G14" s="269"/>
      <c r="H14" s="269"/>
    </row>
    <row r="15" spans="2:10" x14ac:dyDescent="0.25">
      <c r="B15" s="269">
        <v>4</v>
      </c>
      <c r="C15" s="269" t="s">
        <v>748</v>
      </c>
      <c r="D15" s="269"/>
      <c r="E15" s="269"/>
      <c r="F15" s="269"/>
      <c r="G15" s="269"/>
      <c r="H15" s="269"/>
    </row>
    <row r="16" spans="2:10" x14ac:dyDescent="0.25">
      <c r="B16" s="269">
        <v>4.0999999999999996</v>
      </c>
      <c r="C16" s="273" t="s">
        <v>809</v>
      </c>
      <c r="D16" s="274"/>
      <c r="E16" s="269"/>
      <c r="F16" s="269"/>
      <c r="G16" s="269"/>
      <c r="H16" s="269"/>
    </row>
    <row r="17" spans="2:8" x14ac:dyDescent="0.25">
      <c r="B17" s="269">
        <v>4.2</v>
      </c>
      <c r="C17" s="273" t="s">
        <v>810</v>
      </c>
      <c r="D17" s="274"/>
      <c r="E17" s="269"/>
      <c r="F17" s="269"/>
      <c r="G17" s="269"/>
      <c r="H17" s="269"/>
    </row>
    <row r="18" spans="2:8" x14ac:dyDescent="0.25">
      <c r="B18" s="269">
        <v>4.3</v>
      </c>
      <c r="C18" s="273" t="s">
        <v>811</v>
      </c>
      <c r="D18" s="274"/>
      <c r="E18" s="269"/>
      <c r="F18" s="269"/>
      <c r="G18" s="269"/>
      <c r="H18" s="269"/>
    </row>
    <row r="19" spans="2:8" x14ac:dyDescent="0.25">
      <c r="B19" s="269">
        <v>4.4000000000000004</v>
      </c>
      <c r="C19" s="273" t="s">
        <v>812</v>
      </c>
      <c r="D19" s="274"/>
      <c r="E19" s="269"/>
      <c r="F19" s="269"/>
      <c r="G19" s="269"/>
      <c r="H19" s="269"/>
    </row>
    <row r="20" spans="2:8" x14ac:dyDescent="0.25">
      <c r="B20" s="269">
        <v>4.5</v>
      </c>
      <c r="C20" s="273" t="s">
        <v>813</v>
      </c>
      <c r="D20" s="274"/>
      <c r="E20" s="269"/>
      <c r="F20" s="269"/>
      <c r="G20" s="269"/>
      <c r="H20" s="269"/>
    </row>
    <row r="21" spans="2:8" x14ac:dyDescent="0.25">
      <c r="B21" s="269">
        <v>5</v>
      </c>
      <c r="C21" s="269" t="s">
        <v>182</v>
      </c>
      <c r="D21" s="269"/>
      <c r="E21" s="269"/>
      <c r="F21" s="269"/>
      <c r="G21" s="269"/>
      <c r="H21" s="269"/>
    </row>
    <row r="22" spans="2:8" x14ac:dyDescent="0.25">
      <c r="B22" s="269">
        <v>6</v>
      </c>
      <c r="C22" s="269" t="s">
        <v>814</v>
      </c>
      <c r="D22" s="269"/>
      <c r="E22" s="269"/>
      <c r="F22" s="269"/>
      <c r="G22" s="269"/>
      <c r="H22" s="269"/>
    </row>
    <row r="23" spans="2:8" x14ac:dyDescent="0.25">
      <c r="B23" s="269">
        <v>7</v>
      </c>
      <c r="C23" s="275" t="s">
        <v>815</v>
      </c>
      <c r="D23" s="275"/>
      <c r="E23" s="269"/>
      <c r="F23" s="269"/>
      <c r="G23" s="269"/>
      <c r="H23" s="269"/>
    </row>
  </sheetData>
  <hyperlinks>
    <hyperlink ref="B2" location="Indhold!B81" display="Skema EU CR6-A – IRB-metoden – anvendelsesområdet for IRB-metoden og SA-metoden" xr:uid="{3BB5EE15-D20F-4D33-8EB8-2D9F572E72A2}"/>
  </hyperlinks>
  <pageMargins left="0.70866141732283472" right="0.70866141732283472" top="0.74803149606299213" bottom="0.74803149606299213" header="0.31496062992125984" footer="0.31496062992125984"/>
  <pageSetup paperSize="9" scale="70" orientation="landscape" r:id="rId1"/>
  <headerFooter>
    <oddHeader>&amp;CDA
Bilag XXI</oddHeader>
    <oddFooter>&amp;C&amp;P</oddFooter>
    <evenHeader>&amp;L&amp;"Times New Roman,Regular"&amp;12&amp;K000000Central Bank of Ireland - RESTRICTED</evenHeader>
    <firstHeader>&amp;L&amp;"Times New Roman,Regular"&amp;12&amp;K000000Central Bank of Ireland - RESTRICTED</first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1C8F5-B42C-488D-8591-0E944784F22B}">
  <sheetPr>
    <tabColor rgb="FFFF0000"/>
    <pageSetUpPr autoPageBreaks="0" fitToPage="1"/>
  </sheetPr>
  <dimension ref="C2:K26"/>
  <sheetViews>
    <sheetView showGridLines="0" zoomScaleNormal="100" zoomScaleSheetLayoutView="100" zoomScalePageLayoutView="80" workbookViewId="0">
      <selection activeCell="C2" sqref="C2"/>
    </sheetView>
  </sheetViews>
  <sheetFormatPr defaultColWidth="9.140625" defaultRowHeight="15" x14ac:dyDescent="0.25"/>
  <cols>
    <col min="3" max="3" width="8.42578125" customWidth="1"/>
    <col min="4" max="4" width="51.5703125" customWidth="1"/>
    <col min="5" max="5" width="31.5703125" customWidth="1"/>
    <col min="6" max="6" width="30.42578125" bestFit="1" customWidth="1"/>
  </cols>
  <sheetData>
    <row r="2" spans="3:11" ht="21" x14ac:dyDescent="0.35">
      <c r="C2" s="866" t="s">
        <v>816</v>
      </c>
      <c r="D2" s="259"/>
      <c r="E2" s="259"/>
      <c r="F2" s="259"/>
      <c r="G2" s="238"/>
      <c r="H2" s="238"/>
      <c r="I2" s="238"/>
      <c r="J2" s="238"/>
      <c r="K2" s="238"/>
    </row>
    <row r="4" spans="3:11" x14ac:dyDescent="0.25">
      <c r="C4" s="261"/>
      <c r="D4" s="261"/>
      <c r="E4" s="261"/>
      <c r="F4" s="261"/>
    </row>
    <row r="5" spans="3:11" x14ac:dyDescent="0.25">
      <c r="C5" s="196"/>
      <c r="D5" s="196"/>
      <c r="E5" s="262"/>
      <c r="F5" s="262"/>
    </row>
    <row r="6" spans="3:11" ht="33" x14ac:dyDescent="0.25">
      <c r="C6" s="277"/>
      <c r="D6" s="277"/>
      <c r="E6" s="278" t="s">
        <v>817</v>
      </c>
      <c r="F6" s="278" t="s">
        <v>818</v>
      </c>
    </row>
    <row r="7" spans="3:11" ht="16.5" x14ac:dyDescent="0.25">
      <c r="C7" s="1294"/>
      <c r="D7" s="1294"/>
      <c r="E7" s="279" t="s">
        <v>103</v>
      </c>
      <c r="F7" s="279" t="s">
        <v>102</v>
      </c>
    </row>
    <row r="8" spans="3:11" ht="16.5" x14ac:dyDescent="0.25">
      <c r="C8" s="446">
        <v>1</v>
      </c>
      <c r="D8" s="447" t="s">
        <v>819</v>
      </c>
      <c r="E8" s="281"/>
      <c r="F8" s="281"/>
    </row>
    <row r="9" spans="3:11" ht="16.5" x14ac:dyDescent="0.25">
      <c r="C9" s="446">
        <v>2</v>
      </c>
      <c r="D9" s="446" t="s">
        <v>820</v>
      </c>
      <c r="E9" s="280"/>
      <c r="F9" s="280"/>
    </row>
    <row r="10" spans="3:11" ht="16.5" x14ac:dyDescent="0.25">
      <c r="C10" s="446">
        <v>3</v>
      </c>
      <c r="D10" s="446" t="s">
        <v>476</v>
      </c>
      <c r="E10" s="280"/>
      <c r="F10" s="280"/>
    </row>
    <row r="11" spans="3:11" ht="16.5" x14ac:dyDescent="0.25">
      <c r="C11" s="446">
        <v>4</v>
      </c>
      <c r="D11" s="446" t="s">
        <v>821</v>
      </c>
      <c r="E11" s="280"/>
      <c r="F11" s="280"/>
    </row>
    <row r="12" spans="3:11" ht="16.5" x14ac:dyDescent="0.25">
      <c r="C12" s="448">
        <v>4.0999999999999996</v>
      </c>
      <c r="D12" s="448" t="s">
        <v>822</v>
      </c>
      <c r="E12" s="280"/>
      <c r="F12" s="280"/>
    </row>
    <row r="13" spans="3:11" ht="16.5" x14ac:dyDescent="0.25">
      <c r="C13" s="448">
        <v>4.2</v>
      </c>
      <c r="D13" s="448" t="s">
        <v>823</v>
      </c>
      <c r="E13" s="280"/>
      <c r="F13" s="280"/>
    </row>
    <row r="14" spans="3:11" ht="16.5" x14ac:dyDescent="0.25">
      <c r="C14" s="446">
        <v>5</v>
      </c>
      <c r="D14" s="447" t="s">
        <v>824</v>
      </c>
      <c r="E14" s="281"/>
      <c r="F14" s="281"/>
    </row>
    <row r="15" spans="3:11" ht="16.5" x14ac:dyDescent="0.25">
      <c r="C15" s="446">
        <v>6</v>
      </c>
      <c r="D15" s="446" t="s">
        <v>820</v>
      </c>
      <c r="E15" s="280"/>
      <c r="F15" s="280"/>
    </row>
    <row r="16" spans="3:11" ht="16.5" x14ac:dyDescent="0.25">
      <c r="C16" s="446">
        <v>7</v>
      </c>
      <c r="D16" s="446" t="s">
        <v>476</v>
      </c>
      <c r="E16" s="280"/>
      <c r="F16" s="280"/>
    </row>
    <row r="17" spans="3:6" ht="16.5" x14ac:dyDescent="0.25">
      <c r="C17" s="446">
        <v>8</v>
      </c>
      <c r="D17" s="446" t="s">
        <v>821</v>
      </c>
      <c r="E17" s="280"/>
      <c r="F17" s="280" t="s">
        <v>825</v>
      </c>
    </row>
    <row r="18" spans="3:6" ht="17.25" x14ac:dyDescent="0.25">
      <c r="C18" s="449">
        <v>8.1</v>
      </c>
      <c r="D18" s="448" t="s">
        <v>822</v>
      </c>
      <c r="E18" s="280"/>
      <c r="F18" s="280"/>
    </row>
    <row r="19" spans="3:6" ht="17.25" x14ac:dyDescent="0.25">
      <c r="C19" s="449">
        <v>8.1999999999999993</v>
      </c>
      <c r="D19" s="448" t="s">
        <v>823</v>
      </c>
      <c r="E19" s="280"/>
      <c r="F19" s="280"/>
    </row>
    <row r="20" spans="3:6" ht="17.25" x14ac:dyDescent="0.25">
      <c r="C20" s="449">
        <v>9</v>
      </c>
      <c r="D20" s="446" t="s">
        <v>748</v>
      </c>
      <c r="E20" s="280"/>
      <c r="F20" s="280"/>
    </row>
    <row r="21" spans="3:6" ht="33" x14ac:dyDescent="0.25">
      <c r="C21" s="449">
        <v>9.1</v>
      </c>
      <c r="D21" s="448" t="s">
        <v>826</v>
      </c>
      <c r="E21" s="280"/>
      <c r="F21" s="280"/>
    </row>
    <row r="22" spans="3:6" ht="33" x14ac:dyDescent="0.25">
      <c r="C22" s="449">
        <v>9.1999999999999993</v>
      </c>
      <c r="D22" s="448" t="s">
        <v>827</v>
      </c>
      <c r="E22" s="280"/>
      <c r="F22" s="280"/>
    </row>
    <row r="23" spans="3:6" ht="17.25" x14ac:dyDescent="0.25">
      <c r="C23" s="449">
        <v>9.3000000000000007</v>
      </c>
      <c r="D23" s="448" t="s">
        <v>811</v>
      </c>
      <c r="E23" s="280"/>
      <c r="F23" s="280"/>
    </row>
    <row r="24" spans="3:6" ht="17.25" x14ac:dyDescent="0.25">
      <c r="C24" s="449">
        <v>9.4</v>
      </c>
      <c r="D24" s="448" t="s">
        <v>828</v>
      </c>
      <c r="E24" s="280"/>
      <c r="F24" s="280"/>
    </row>
    <row r="25" spans="3:6" ht="17.25" x14ac:dyDescent="0.25">
      <c r="C25" s="449">
        <v>9.5</v>
      </c>
      <c r="D25" s="448" t="s">
        <v>829</v>
      </c>
      <c r="E25" s="280"/>
      <c r="F25" s="280"/>
    </row>
    <row r="26" spans="3:6" s="32" customFormat="1" ht="39.75" customHeight="1" x14ac:dyDescent="0.25">
      <c r="C26" s="446">
        <v>10</v>
      </c>
      <c r="D26" s="447" t="s">
        <v>830</v>
      </c>
      <c r="E26" s="281"/>
      <c r="F26" s="281"/>
    </row>
  </sheetData>
  <mergeCells count="1">
    <mergeCell ref="C7:D7"/>
  </mergeCells>
  <hyperlinks>
    <hyperlink ref="C2" location="Indhold!B82" display="Skema EU CR7 – IRB-metoden – Virkning af kreditderivater anvendt som CRM-teknikker på de risikovægtede eksponeringer" xr:uid="{1F1F5BFD-EFAA-41CB-8E66-9EEE1487C3B8}"/>
  </hyperlinks>
  <pageMargins left="0.70866141732283472" right="0.70866141732283472" top="0.74803149606299213" bottom="0.74803149606299213" header="0.31496062992125984" footer="0.31496062992125984"/>
  <pageSetup paperSize="9" scale="70" orientation="landscape" r:id="rId1"/>
  <headerFooter>
    <oddHeader>&amp;CDA
Bilag XXI</oddHeader>
    <oddFooter>&amp;C&amp;P</oddFooter>
    <evenHeader>&amp;L&amp;"Times New Roman,Regular"&amp;12&amp;K000000Central Bank of Ireland - RESTRICTED</evenHeader>
    <firstHeader>&amp;L&amp;"Times New Roman,Regular"&amp;12&amp;K000000Central Bank of Ireland - RESTRICTED</first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38BA6-4208-4C51-8CDD-DD28A4169483}">
  <sheetPr>
    <tabColor rgb="FFFF0000"/>
    <pageSetUpPr fitToPage="1"/>
  </sheetPr>
  <dimension ref="A1:P36"/>
  <sheetViews>
    <sheetView showGridLines="0" zoomScaleNormal="100" zoomScalePageLayoutView="80" workbookViewId="0"/>
  </sheetViews>
  <sheetFormatPr defaultColWidth="9.140625" defaultRowHeight="15" x14ac:dyDescent="0.25"/>
  <cols>
    <col min="1" max="1" width="5.42578125" customWidth="1"/>
    <col min="2" max="2" width="40.28515625" customWidth="1"/>
    <col min="3" max="3" width="26.5703125" customWidth="1"/>
    <col min="4" max="12" width="12.28515625" customWidth="1"/>
    <col min="13" max="14" width="13.7109375" customWidth="1"/>
    <col min="15" max="16" width="35.5703125" customWidth="1"/>
  </cols>
  <sheetData>
    <row r="1" spans="1:16" x14ac:dyDescent="0.25">
      <c r="A1" s="866" t="s">
        <v>831</v>
      </c>
    </row>
    <row r="4" spans="1:16" x14ac:dyDescent="0.25">
      <c r="B4" s="282"/>
    </row>
    <row r="5" spans="1:16" ht="17.25" customHeight="1" x14ac:dyDescent="0.25">
      <c r="A5" s="1314" t="s">
        <v>765</v>
      </c>
      <c r="B5" s="1315"/>
      <c r="C5" s="1300" t="s">
        <v>832</v>
      </c>
      <c r="D5" s="1295" t="s">
        <v>833</v>
      </c>
      <c r="E5" s="1313"/>
      <c r="F5" s="1313"/>
      <c r="G5" s="1313"/>
      <c r="H5" s="1313"/>
      <c r="I5" s="1313"/>
      <c r="J5" s="1313"/>
      <c r="K5" s="1313"/>
      <c r="L5" s="1313"/>
      <c r="M5" s="1313"/>
      <c r="N5" s="1296"/>
      <c r="O5" s="1295" t="s">
        <v>834</v>
      </c>
      <c r="P5" s="1296"/>
    </row>
    <row r="6" spans="1:16" ht="24.75" customHeight="1" x14ac:dyDescent="0.25">
      <c r="A6" s="1316"/>
      <c r="B6" s="1317"/>
      <c r="C6" s="1301"/>
      <c r="D6" s="1297" t="s">
        <v>835</v>
      </c>
      <c r="E6" s="1298"/>
      <c r="F6" s="1298"/>
      <c r="G6" s="1298"/>
      <c r="H6" s="1298"/>
      <c r="I6" s="1298"/>
      <c r="J6" s="1298"/>
      <c r="K6" s="1298"/>
      <c r="L6" s="1299"/>
      <c r="M6" s="1297" t="s">
        <v>836</v>
      </c>
      <c r="N6" s="1299"/>
      <c r="O6" s="1300" t="s">
        <v>837</v>
      </c>
      <c r="P6" s="1303" t="s">
        <v>838</v>
      </c>
    </row>
    <row r="7" spans="1:16" x14ac:dyDescent="0.25">
      <c r="A7" s="1316"/>
      <c r="B7" s="1317"/>
      <c r="C7" s="1301"/>
      <c r="D7" s="1300" t="s">
        <v>839</v>
      </c>
      <c r="E7" s="1306" t="s">
        <v>840</v>
      </c>
      <c r="F7" s="283"/>
      <c r="G7" s="283"/>
      <c r="H7" s="283"/>
      <c r="I7" s="1306" t="s">
        <v>841</v>
      </c>
      <c r="J7" s="283"/>
      <c r="K7" s="283"/>
      <c r="L7" s="283"/>
      <c r="M7" s="1300" t="s">
        <v>842</v>
      </c>
      <c r="N7" s="1300" t="s">
        <v>843</v>
      </c>
      <c r="O7" s="1301"/>
      <c r="P7" s="1304"/>
    </row>
    <row r="8" spans="1:16" ht="78.75" customHeight="1" x14ac:dyDescent="0.25">
      <c r="A8" s="1316"/>
      <c r="B8" s="1317"/>
      <c r="C8" s="284"/>
      <c r="D8" s="1302"/>
      <c r="E8" s="1302"/>
      <c r="F8" s="285" t="s">
        <v>844</v>
      </c>
      <c r="G8" s="285" t="s">
        <v>845</v>
      </c>
      <c r="H8" s="285" t="s">
        <v>846</v>
      </c>
      <c r="I8" s="1302"/>
      <c r="J8" s="285" t="s">
        <v>847</v>
      </c>
      <c r="K8" s="285" t="s">
        <v>848</v>
      </c>
      <c r="L8" s="285" t="s">
        <v>849</v>
      </c>
      <c r="M8" s="1302"/>
      <c r="N8" s="1302"/>
      <c r="O8" s="1302"/>
      <c r="P8" s="1305"/>
    </row>
    <row r="9" spans="1:16" x14ac:dyDescent="0.25">
      <c r="A9" s="1318"/>
      <c r="B9" s="1319"/>
      <c r="C9" s="286" t="s">
        <v>103</v>
      </c>
      <c r="D9" s="286" t="s">
        <v>102</v>
      </c>
      <c r="E9" s="286" t="s">
        <v>97</v>
      </c>
      <c r="F9" s="286" t="s">
        <v>96</v>
      </c>
      <c r="G9" s="286" t="s">
        <v>95</v>
      </c>
      <c r="H9" s="286" t="s">
        <v>111</v>
      </c>
      <c r="I9" s="286" t="s">
        <v>112</v>
      </c>
      <c r="J9" s="286" t="s">
        <v>164</v>
      </c>
      <c r="K9" s="286" t="s">
        <v>323</v>
      </c>
      <c r="L9" s="286" t="s">
        <v>324</v>
      </c>
      <c r="M9" s="286" t="s">
        <v>325</v>
      </c>
      <c r="N9" s="286" t="s">
        <v>326</v>
      </c>
      <c r="O9" s="286" t="s">
        <v>327</v>
      </c>
      <c r="P9" s="286" t="s">
        <v>354</v>
      </c>
    </row>
    <row r="10" spans="1:16" x14ac:dyDescent="0.25">
      <c r="A10" s="20">
        <v>1</v>
      </c>
      <c r="B10" s="287" t="s">
        <v>820</v>
      </c>
      <c r="C10" s="20"/>
      <c r="D10" s="288"/>
      <c r="E10" s="288"/>
      <c r="F10" s="288"/>
      <c r="G10" s="288"/>
      <c r="H10" s="288"/>
      <c r="I10" s="288"/>
      <c r="J10" s="288"/>
      <c r="K10" s="288"/>
      <c r="L10" s="288"/>
      <c r="M10" s="288"/>
      <c r="N10" s="289"/>
      <c r="O10" s="20"/>
      <c r="P10" s="20"/>
    </row>
    <row r="11" spans="1:16" x14ac:dyDescent="0.25">
      <c r="A11" s="20">
        <v>2</v>
      </c>
      <c r="B11" s="287" t="s">
        <v>476</v>
      </c>
      <c r="C11" s="20"/>
      <c r="D11" s="20"/>
      <c r="E11" s="20"/>
      <c r="F11" s="20"/>
      <c r="G11" s="20"/>
      <c r="H11" s="20"/>
      <c r="I11" s="20"/>
      <c r="J11" s="20"/>
      <c r="K11" s="20"/>
      <c r="L11" s="20"/>
      <c r="M11" s="20"/>
      <c r="N11" s="290"/>
      <c r="O11" s="20"/>
      <c r="P11" s="20"/>
    </row>
    <row r="12" spans="1:16" x14ac:dyDescent="0.25">
      <c r="A12" s="20">
        <v>3</v>
      </c>
      <c r="B12" s="287" t="s">
        <v>482</v>
      </c>
      <c r="C12" s="20"/>
      <c r="D12" s="20"/>
      <c r="E12" s="20"/>
      <c r="F12" s="20"/>
      <c r="G12" s="20"/>
      <c r="H12" s="20"/>
      <c r="I12" s="20"/>
      <c r="J12" s="20"/>
      <c r="K12" s="20"/>
      <c r="L12" s="20"/>
      <c r="M12" s="20"/>
      <c r="N12" s="290"/>
      <c r="O12" s="20"/>
      <c r="P12" s="20"/>
    </row>
    <row r="13" spans="1:16" x14ac:dyDescent="0.25">
      <c r="A13" s="291">
        <v>3.1</v>
      </c>
      <c r="B13" s="292" t="s">
        <v>822</v>
      </c>
      <c r="C13" s="20"/>
      <c r="D13" s="20"/>
      <c r="E13" s="20"/>
      <c r="F13" s="20"/>
      <c r="G13" s="20"/>
      <c r="H13" s="20"/>
      <c r="I13" s="20"/>
      <c r="J13" s="20"/>
      <c r="K13" s="20"/>
      <c r="L13" s="20"/>
      <c r="M13" s="20"/>
      <c r="N13" s="290"/>
      <c r="O13" s="20"/>
      <c r="P13" s="20"/>
    </row>
    <row r="14" spans="1:16" x14ac:dyDescent="0.25">
      <c r="A14" s="291">
        <v>3.2</v>
      </c>
      <c r="B14" s="292" t="s">
        <v>823</v>
      </c>
      <c r="C14" s="20"/>
      <c r="D14" s="20"/>
      <c r="E14" s="20"/>
      <c r="F14" s="20"/>
      <c r="G14" s="20"/>
      <c r="H14" s="20"/>
      <c r="I14" s="20"/>
      <c r="J14" s="20"/>
      <c r="K14" s="20"/>
      <c r="L14" s="20"/>
      <c r="M14" s="20"/>
      <c r="N14" s="290"/>
      <c r="O14" s="20"/>
      <c r="P14" s="20"/>
    </row>
    <row r="15" spans="1:16" x14ac:dyDescent="0.25">
      <c r="A15" s="291">
        <v>3.3</v>
      </c>
      <c r="B15" s="292" t="s">
        <v>850</v>
      </c>
      <c r="C15" s="20"/>
      <c r="D15" s="20"/>
      <c r="E15" s="20"/>
      <c r="F15" s="20"/>
      <c r="G15" s="20"/>
      <c r="H15" s="20"/>
      <c r="I15" s="20"/>
      <c r="J15" s="20"/>
      <c r="K15" s="20"/>
      <c r="L15" s="20"/>
      <c r="M15" s="20"/>
      <c r="N15" s="290"/>
      <c r="O15" s="20"/>
      <c r="P15" s="20"/>
    </row>
    <row r="16" spans="1:16" x14ac:dyDescent="0.25">
      <c r="A16" s="20">
        <v>4</v>
      </c>
      <c r="B16" s="287" t="s">
        <v>748</v>
      </c>
      <c r="C16" s="20"/>
      <c r="D16" s="20"/>
      <c r="E16" s="20"/>
      <c r="F16" s="20"/>
      <c r="G16" s="20"/>
      <c r="H16" s="20"/>
      <c r="I16" s="20"/>
      <c r="J16" s="20"/>
      <c r="K16" s="20"/>
      <c r="L16" s="20"/>
      <c r="M16" s="20"/>
      <c r="N16" s="290"/>
      <c r="O16" s="20"/>
      <c r="P16" s="20"/>
    </row>
    <row r="17" spans="1:16" x14ac:dyDescent="0.25">
      <c r="A17" s="291">
        <v>4.0999999999999996</v>
      </c>
      <c r="B17" s="292" t="s">
        <v>851</v>
      </c>
      <c r="C17" s="20"/>
      <c r="D17" s="20"/>
      <c r="E17" s="20"/>
      <c r="F17" s="20"/>
      <c r="G17" s="20"/>
      <c r="H17" s="20"/>
      <c r="I17" s="20"/>
      <c r="J17" s="20"/>
      <c r="K17" s="20"/>
      <c r="L17" s="20"/>
      <c r="M17" s="20"/>
      <c r="N17" s="290"/>
      <c r="O17" s="20"/>
      <c r="P17" s="20"/>
    </row>
    <row r="18" spans="1:16" x14ac:dyDescent="0.25">
      <c r="A18" s="291">
        <v>4.2</v>
      </c>
      <c r="B18" s="292" t="s">
        <v>852</v>
      </c>
      <c r="C18" s="20"/>
      <c r="D18" s="20"/>
      <c r="E18" s="20"/>
      <c r="F18" s="20"/>
      <c r="G18" s="20"/>
      <c r="H18" s="20"/>
      <c r="I18" s="20"/>
      <c r="J18" s="20"/>
      <c r="K18" s="20"/>
      <c r="L18" s="20"/>
      <c r="M18" s="20"/>
      <c r="N18" s="290"/>
      <c r="O18" s="20"/>
      <c r="P18" s="20"/>
    </row>
    <row r="19" spans="1:16" x14ac:dyDescent="0.25">
      <c r="A19" s="291">
        <v>4.3</v>
      </c>
      <c r="B19" s="292" t="s">
        <v>811</v>
      </c>
      <c r="C19" s="20"/>
      <c r="D19" s="20"/>
      <c r="E19" s="20"/>
      <c r="F19" s="20"/>
      <c r="G19" s="20"/>
      <c r="H19" s="20"/>
      <c r="I19" s="20"/>
      <c r="J19" s="20"/>
      <c r="K19" s="20"/>
      <c r="L19" s="20"/>
      <c r="M19" s="20"/>
      <c r="N19" s="290"/>
      <c r="O19" s="20"/>
      <c r="P19" s="20"/>
    </row>
    <row r="20" spans="1:16" x14ac:dyDescent="0.25">
      <c r="A20" s="291">
        <v>4.4000000000000004</v>
      </c>
      <c r="B20" s="292" t="s">
        <v>812</v>
      </c>
      <c r="C20" s="20"/>
      <c r="D20" s="20"/>
      <c r="E20" s="20"/>
      <c r="F20" s="20"/>
      <c r="G20" s="20"/>
      <c r="H20" s="20"/>
      <c r="I20" s="20"/>
      <c r="J20" s="20"/>
      <c r="K20" s="20"/>
      <c r="L20" s="20"/>
      <c r="M20" s="20"/>
      <c r="N20" s="290"/>
      <c r="O20" s="20"/>
      <c r="P20" s="20"/>
    </row>
    <row r="21" spans="1:16" x14ac:dyDescent="0.25">
      <c r="A21" s="291">
        <v>4.5</v>
      </c>
      <c r="B21" s="292" t="s">
        <v>813</v>
      </c>
      <c r="C21" s="20"/>
      <c r="D21" s="20"/>
      <c r="E21" s="20"/>
      <c r="F21" s="20"/>
      <c r="G21" s="20"/>
      <c r="H21" s="20"/>
      <c r="I21" s="20"/>
      <c r="J21" s="20"/>
      <c r="K21" s="20"/>
      <c r="L21" s="20"/>
      <c r="M21" s="20"/>
      <c r="N21" s="290"/>
      <c r="O21" s="20"/>
      <c r="P21" s="20"/>
    </row>
    <row r="22" spans="1:16" x14ac:dyDescent="0.25">
      <c r="A22" s="20">
        <v>5</v>
      </c>
      <c r="B22" s="287" t="s">
        <v>0</v>
      </c>
      <c r="C22" s="20"/>
      <c r="D22" s="20"/>
      <c r="E22" s="20"/>
      <c r="F22" s="20"/>
      <c r="G22" s="20"/>
      <c r="H22" s="20"/>
      <c r="I22" s="20"/>
      <c r="J22" s="20"/>
      <c r="K22" s="20"/>
      <c r="L22" s="20"/>
      <c r="M22" s="20"/>
      <c r="N22" s="290"/>
      <c r="O22" s="20"/>
      <c r="P22" s="20"/>
    </row>
    <row r="25" spans="1:16" ht="17.25" customHeight="1" x14ac:dyDescent="0.25">
      <c r="A25" s="1307" t="s">
        <v>797</v>
      </c>
      <c r="B25" s="1308"/>
      <c r="C25" s="1300" t="s">
        <v>832</v>
      </c>
      <c r="D25" s="1295" t="s">
        <v>833</v>
      </c>
      <c r="E25" s="1313"/>
      <c r="F25" s="1313"/>
      <c r="G25" s="1313"/>
      <c r="H25" s="1313"/>
      <c r="I25" s="1313"/>
      <c r="J25" s="1313"/>
      <c r="K25" s="1313"/>
      <c r="L25" s="1313"/>
      <c r="M25" s="1313"/>
      <c r="N25" s="1296"/>
      <c r="O25" s="1295" t="s">
        <v>834</v>
      </c>
      <c r="P25" s="1296"/>
    </row>
    <row r="26" spans="1:16" ht="21" customHeight="1" x14ac:dyDescent="0.25">
      <c r="A26" s="1309"/>
      <c r="B26" s="1310"/>
      <c r="C26" s="1301"/>
      <c r="D26" s="1297" t="s">
        <v>835</v>
      </c>
      <c r="E26" s="1298"/>
      <c r="F26" s="1298"/>
      <c r="G26" s="1298"/>
      <c r="H26" s="1298"/>
      <c r="I26" s="1298"/>
      <c r="J26" s="1298"/>
      <c r="K26" s="1298"/>
      <c r="L26" s="1299"/>
      <c r="M26" s="1297" t="s">
        <v>836</v>
      </c>
      <c r="N26" s="1299"/>
      <c r="O26" s="1300" t="s">
        <v>837</v>
      </c>
      <c r="P26" s="1303" t="s">
        <v>838</v>
      </c>
    </row>
    <row r="27" spans="1:16" x14ac:dyDescent="0.25">
      <c r="A27" s="1309"/>
      <c r="B27" s="1310"/>
      <c r="C27" s="1301"/>
      <c r="D27" s="1300" t="s">
        <v>839</v>
      </c>
      <c r="E27" s="1306" t="s">
        <v>840</v>
      </c>
      <c r="F27" s="283"/>
      <c r="G27" s="283"/>
      <c r="H27" s="283"/>
      <c r="I27" s="1306" t="s">
        <v>841</v>
      </c>
      <c r="J27" s="283"/>
      <c r="K27" s="283"/>
      <c r="L27" s="283"/>
      <c r="M27" s="1300" t="s">
        <v>842</v>
      </c>
      <c r="N27" s="1300" t="s">
        <v>843</v>
      </c>
      <c r="O27" s="1301"/>
      <c r="P27" s="1304"/>
    </row>
    <row r="28" spans="1:16" ht="82.5" customHeight="1" x14ac:dyDescent="0.25">
      <c r="A28" s="1309"/>
      <c r="B28" s="1310"/>
      <c r="C28" s="284"/>
      <c r="D28" s="1302"/>
      <c r="E28" s="1302"/>
      <c r="F28" s="285" t="s">
        <v>844</v>
      </c>
      <c r="G28" s="285" t="s">
        <v>845</v>
      </c>
      <c r="H28" s="285" t="s">
        <v>846</v>
      </c>
      <c r="I28" s="1302"/>
      <c r="J28" s="285" t="s">
        <v>847</v>
      </c>
      <c r="K28" s="285" t="s">
        <v>848</v>
      </c>
      <c r="L28" s="285" t="s">
        <v>849</v>
      </c>
      <c r="M28" s="1302"/>
      <c r="N28" s="1302"/>
      <c r="O28" s="1302"/>
      <c r="P28" s="1305"/>
    </row>
    <row r="29" spans="1:16" x14ac:dyDescent="0.25">
      <c r="A29" s="1311"/>
      <c r="B29" s="1312"/>
      <c r="C29" s="293" t="s">
        <v>103</v>
      </c>
      <c r="D29" s="293" t="s">
        <v>102</v>
      </c>
      <c r="E29" s="293" t="s">
        <v>97</v>
      </c>
      <c r="F29" s="293" t="s">
        <v>96</v>
      </c>
      <c r="G29" s="293" t="s">
        <v>95</v>
      </c>
      <c r="H29" s="293" t="s">
        <v>111</v>
      </c>
      <c r="I29" s="293" t="s">
        <v>112</v>
      </c>
      <c r="J29" s="293" t="s">
        <v>164</v>
      </c>
      <c r="K29" s="293" t="s">
        <v>323</v>
      </c>
      <c r="L29" s="293" t="s">
        <v>324</v>
      </c>
      <c r="M29" s="293" t="s">
        <v>325</v>
      </c>
      <c r="N29" s="293" t="s">
        <v>326</v>
      </c>
      <c r="O29" s="293" t="s">
        <v>327</v>
      </c>
      <c r="P29" s="293" t="s">
        <v>354</v>
      </c>
    </row>
    <row r="30" spans="1:16" x14ac:dyDescent="0.25">
      <c r="A30" s="20">
        <v>1</v>
      </c>
      <c r="B30" s="287" t="s">
        <v>820</v>
      </c>
      <c r="C30" s="20"/>
      <c r="D30" s="288"/>
      <c r="E30" s="288"/>
      <c r="F30" s="288"/>
      <c r="G30" s="288"/>
      <c r="H30" s="288"/>
      <c r="I30" s="288"/>
      <c r="J30" s="288"/>
      <c r="K30" s="288"/>
      <c r="L30" s="288"/>
      <c r="M30" s="288"/>
      <c r="N30" s="289"/>
      <c r="O30" s="20"/>
      <c r="P30" s="20"/>
    </row>
    <row r="31" spans="1:16" x14ac:dyDescent="0.25">
      <c r="A31" s="20">
        <v>2</v>
      </c>
      <c r="B31" s="287" t="s">
        <v>476</v>
      </c>
      <c r="C31" s="20"/>
      <c r="D31" s="20"/>
      <c r="E31" s="20"/>
      <c r="F31" s="20"/>
      <c r="G31" s="20"/>
      <c r="H31" s="20"/>
      <c r="I31" s="20"/>
      <c r="J31" s="20"/>
      <c r="K31" s="20"/>
      <c r="L31" s="20"/>
      <c r="M31" s="20"/>
      <c r="N31" s="290"/>
      <c r="O31" s="20"/>
      <c r="P31" s="20"/>
    </row>
    <row r="32" spans="1:16" x14ac:dyDescent="0.25">
      <c r="A32" s="20">
        <v>3</v>
      </c>
      <c r="B32" s="287" t="s">
        <v>482</v>
      </c>
      <c r="C32" s="20"/>
      <c r="D32" s="20"/>
      <c r="E32" s="20"/>
      <c r="F32" s="20"/>
      <c r="G32" s="20"/>
      <c r="H32" s="20"/>
      <c r="I32" s="20"/>
      <c r="J32" s="20"/>
      <c r="K32" s="20"/>
      <c r="L32" s="20"/>
      <c r="M32" s="20"/>
      <c r="N32" s="290"/>
      <c r="O32" s="20"/>
      <c r="P32" s="20"/>
    </row>
    <row r="33" spans="1:16" x14ac:dyDescent="0.25">
      <c r="A33" s="291">
        <v>3.1</v>
      </c>
      <c r="B33" s="292" t="s">
        <v>822</v>
      </c>
      <c r="C33" s="20"/>
      <c r="D33" s="20"/>
      <c r="E33" s="20"/>
      <c r="F33" s="20"/>
      <c r="G33" s="20"/>
      <c r="H33" s="20"/>
      <c r="I33" s="20"/>
      <c r="J33" s="20"/>
      <c r="K33" s="20"/>
      <c r="L33" s="20"/>
      <c r="M33" s="20"/>
      <c r="N33" s="290"/>
      <c r="O33" s="20"/>
      <c r="P33" s="20"/>
    </row>
    <row r="34" spans="1:16" x14ac:dyDescent="0.25">
      <c r="A34" s="291">
        <v>3.2</v>
      </c>
      <c r="B34" s="292" t="s">
        <v>823</v>
      </c>
      <c r="C34" s="20"/>
      <c r="D34" s="20"/>
      <c r="E34" s="20"/>
      <c r="F34" s="20"/>
      <c r="G34" s="20"/>
      <c r="H34" s="20"/>
      <c r="I34" s="20"/>
      <c r="J34" s="20"/>
      <c r="K34" s="20"/>
      <c r="L34" s="20"/>
      <c r="M34" s="20"/>
      <c r="N34" s="290"/>
      <c r="O34" s="20"/>
      <c r="P34" s="20"/>
    </row>
    <row r="35" spans="1:16" x14ac:dyDescent="0.25">
      <c r="A35" s="291">
        <v>3.3</v>
      </c>
      <c r="B35" s="292" t="s">
        <v>850</v>
      </c>
      <c r="C35" s="20"/>
      <c r="D35" s="20"/>
      <c r="E35" s="20"/>
      <c r="F35" s="20"/>
      <c r="G35" s="20"/>
      <c r="H35" s="20"/>
      <c r="I35" s="20"/>
      <c r="J35" s="20"/>
      <c r="K35" s="20"/>
      <c r="L35" s="20"/>
      <c r="M35" s="20"/>
      <c r="N35" s="290"/>
      <c r="O35" s="20"/>
      <c r="P35" s="20"/>
    </row>
    <row r="36" spans="1:16" x14ac:dyDescent="0.25">
      <c r="A36" s="20">
        <v>4</v>
      </c>
      <c r="B36" s="287" t="s">
        <v>0</v>
      </c>
      <c r="C36" s="20"/>
      <c r="D36" s="20"/>
      <c r="E36" s="20"/>
      <c r="F36" s="20"/>
      <c r="G36" s="20"/>
      <c r="H36" s="20"/>
      <c r="I36" s="20"/>
      <c r="J36" s="20"/>
      <c r="K36" s="20"/>
      <c r="L36" s="20"/>
      <c r="M36" s="20"/>
      <c r="N36" s="290"/>
      <c r="O36" s="20"/>
      <c r="P36" s="20"/>
    </row>
  </sheetData>
  <mergeCells count="26">
    <mergeCell ref="O5:P5"/>
    <mergeCell ref="D6:L6"/>
    <mergeCell ref="M6:N6"/>
    <mergeCell ref="O6:O8"/>
    <mergeCell ref="P6:P8"/>
    <mergeCell ref="D7:D8"/>
    <mergeCell ref="E7:E8"/>
    <mergeCell ref="I7:I8"/>
    <mergeCell ref="M7:M8"/>
    <mergeCell ref="N7:N8"/>
    <mergeCell ref="A25:B29"/>
    <mergeCell ref="C25:C27"/>
    <mergeCell ref="D25:N25"/>
    <mergeCell ref="A5:B9"/>
    <mergeCell ref="C5:C7"/>
    <mergeCell ref="D5:N5"/>
    <mergeCell ref="O25:P25"/>
    <mergeCell ref="D26:L26"/>
    <mergeCell ref="M26:N26"/>
    <mergeCell ref="O26:O28"/>
    <mergeCell ref="P26:P28"/>
    <mergeCell ref="D27:D28"/>
    <mergeCell ref="E27:E28"/>
    <mergeCell ref="I27:I28"/>
    <mergeCell ref="M27:M28"/>
    <mergeCell ref="N27:N28"/>
  </mergeCells>
  <hyperlinks>
    <hyperlink ref="A1" location="Indhold!B83" display="Skema EU CR7-A – IRB-metoden – Offentliggørelse af omfanget af anvendelsen af kreditrisikoreduktionsteknikker" xr:uid="{721DAD86-72A0-4ADA-A4A5-7E4BED7E4B2F}"/>
  </hyperlinks>
  <pageMargins left="0.70866141732283472" right="0.70866141732283472" top="0.74803149606299213" bottom="0.74803149606299213" header="0.31496062992125984" footer="0.31496062992125984"/>
  <pageSetup paperSize="9" scale="46" fitToHeight="0" orientation="landscape" r:id="rId1"/>
  <headerFooter>
    <oddHeader>&amp;CDA
Bilag XXI</oddHeader>
    <oddFooter>&amp;C&amp;P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E43F9-9B95-4282-9A8D-4C551CF057F3}">
  <sheetPr>
    <tabColor rgb="FFFF0000"/>
    <pageSetUpPr fitToPage="1"/>
  </sheetPr>
  <dimension ref="A1:C15"/>
  <sheetViews>
    <sheetView showGridLines="0" zoomScaleNormal="100" workbookViewId="0"/>
  </sheetViews>
  <sheetFormatPr defaultColWidth="9.140625" defaultRowHeight="15" x14ac:dyDescent="0.25"/>
  <cols>
    <col min="1" max="1" width="3.5703125" customWidth="1"/>
    <col min="2" max="2" width="74.42578125" customWidth="1"/>
    <col min="3" max="3" width="43.28515625" customWidth="1"/>
  </cols>
  <sheetData>
    <row r="1" spans="1:3" ht="20.25" x14ac:dyDescent="0.3">
      <c r="A1" s="866" t="s">
        <v>853</v>
      </c>
      <c r="B1" s="259"/>
      <c r="C1" s="259"/>
    </row>
    <row r="5" spans="1:3" x14ac:dyDescent="0.25">
      <c r="A5" s="294"/>
      <c r="B5" s="294"/>
      <c r="C5" s="50" t="s">
        <v>854</v>
      </c>
    </row>
    <row r="6" spans="1:3" x14ac:dyDescent="0.25">
      <c r="B6" s="294"/>
      <c r="C6" s="44" t="s">
        <v>103</v>
      </c>
    </row>
    <row r="7" spans="1:3" x14ac:dyDescent="0.25">
      <c r="A7" s="50">
        <v>1</v>
      </c>
      <c r="B7" s="295" t="s">
        <v>855</v>
      </c>
      <c r="C7" s="20"/>
    </row>
    <row r="8" spans="1:3" x14ac:dyDescent="0.25">
      <c r="A8" s="44">
        <v>2</v>
      </c>
      <c r="B8" s="94" t="s">
        <v>856</v>
      </c>
      <c r="C8" s="20"/>
    </row>
    <row r="9" spans="1:3" x14ac:dyDescent="0.25">
      <c r="A9" s="44">
        <v>3</v>
      </c>
      <c r="B9" s="94" t="s">
        <v>857</v>
      </c>
      <c r="C9" s="20"/>
    </row>
    <row r="10" spans="1:3" x14ac:dyDescent="0.25">
      <c r="A10" s="44">
        <v>4</v>
      </c>
      <c r="B10" s="94" t="s">
        <v>858</v>
      </c>
      <c r="C10" s="20"/>
    </row>
    <row r="11" spans="1:3" x14ac:dyDescent="0.25">
      <c r="A11" s="44">
        <v>5</v>
      </c>
      <c r="B11" s="94" t="s">
        <v>859</v>
      </c>
      <c r="C11" s="20"/>
    </row>
    <row r="12" spans="1:3" x14ac:dyDescent="0.25">
      <c r="A12" s="44">
        <v>6</v>
      </c>
      <c r="B12" s="94" t="s">
        <v>860</v>
      </c>
      <c r="C12" s="20"/>
    </row>
    <row r="13" spans="1:3" x14ac:dyDescent="0.25">
      <c r="A13" s="44">
        <v>7</v>
      </c>
      <c r="B13" s="94" t="s">
        <v>861</v>
      </c>
      <c r="C13" s="20"/>
    </row>
    <row r="14" spans="1:3" x14ac:dyDescent="0.25">
      <c r="A14" s="44">
        <v>8</v>
      </c>
      <c r="B14" s="94" t="s">
        <v>862</v>
      </c>
      <c r="C14" s="20"/>
    </row>
    <row r="15" spans="1:3" x14ac:dyDescent="0.25">
      <c r="A15" s="50">
        <v>9</v>
      </c>
      <c r="B15" s="295" t="s">
        <v>863</v>
      </c>
      <c r="C15" s="20"/>
    </row>
  </sheetData>
  <hyperlinks>
    <hyperlink ref="A1" location="Indhold!B84" display="Skema EU CR8 - RWEA-flowtabeller for kreditrisikoeksponeringer i henhold til IRB-metoden. " xr:uid="{37EA7500-77FC-41A4-9A98-C9ED8221E7F9}"/>
  </hyperlinks>
  <pageMargins left="0.70866141732283472" right="0.70866141732283472" top="0.74803149606299213" bottom="0.74803149606299213" header="0.31496062992125984" footer="0.31496062992125984"/>
  <pageSetup paperSize="9" fitToHeight="0" orientation="landscape" r:id="rId1"/>
  <headerFooter>
    <oddHeader>&amp;CDA
Bilag XXI</oddHeader>
    <oddFooter>&amp;C&amp;P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B0AB8-1975-4E6E-A51F-FA204D19B6E8}">
  <sheetPr>
    <tabColor rgb="FFFF0000"/>
    <pageSetUpPr fitToPage="1"/>
  </sheetPr>
  <dimension ref="A4:I50"/>
  <sheetViews>
    <sheetView showGridLines="0" zoomScaleNormal="100" zoomScaleSheetLayoutView="100" zoomScalePageLayoutView="90" workbookViewId="0">
      <selection activeCell="B4" sqref="B4"/>
    </sheetView>
  </sheetViews>
  <sheetFormatPr defaultColWidth="11.5703125" defaultRowHeight="15" x14ac:dyDescent="0.25"/>
  <cols>
    <col min="2" max="2" width="25.7109375" customWidth="1"/>
    <col min="3" max="3" width="31.42578125" customWidth="1"/>
    <col min="4" max="4" width="20.5703125" customWidth="1"/>
    <col min="5" max="5" width="23.7109375" customWidth="1"/>
    <col min="6" max="6" width="26.42578125" customWidth="1"/>
    <col min="7" max="7" width="32" customWidth="1"/>
    <col min="8" max="8" width="26.85546875" customWidth="1"/>
    <col min="9" max="9" width="16.7109375" customWidth="1"/>
  </cols>
  <sheetData>
    <row r="4" spans="1:9" ht="18.75" customHeight="1" x14ac:dyDescent="0.3">
      <c r="B4" s="866" t="s">
        <v>864</v>
      </c>
      <c r="C4" s="51"/>
      <c r="D4" s="51"/>
      <c r="E4" s="51"/>
      <c r="F4" s="51"/>
      <c r="G4" s="51"/>
      <c r="H4" s="51"/>
    </row>
    <row r="5" spans="1:9" ht="18.75" x14ac:dyDescent="0.3">
      <c r="B5" s="296"/>
      <c r="C5" s="51"/>
      <c r="D5" s="51"/>
      <c r="E5" s="51"/>
      <c r="F5" s="51"/>
      <c r="G5" s="51"/>
      <c r="H5" s="51"/>
    </row>
    <row r="6" spans="1:9" ht="21" x14ac:dyDescent="0.35">
      <c r="B6" s="297" t="s">
        <v>765</v>
      </c>
      <c r="C6" s="298"/>
      <c r="D6" s="238"/>
      <c r="E6" s="238"/>
      <c r="F6" s="238"/>
      <c r="G6" s="238"/>
      <c r="H6" s="238"/>
    </row>
    <row r="7" spans="1:9" s="298" customFormat="1" ht="15" customHeight="1" x14ac:dyDescent="0.25">
      <c r="A7"/>
      <c r="B7" s="1325" t="s">
        <v>865</v>
      </c>
      <c r="C7" s="1325" t="s">
        <v>766</v>
      </c>
      <c r="D7" s="1327" t="s">
        <v>866</v>
      </c>
      <c r="E7" s="1328"/>
      <c r="F7" s="1325" t="s">
        <v>867</v>
      </c>
      <c r="G7" s="1323" t="s">
        <v>769</v>
      </c>
      <c r="H7" s="1325" t="s">
        <v>868</v>
      </c>
      <c r="I7" s="1323" t="s">
        <v>869</v>
      </c>
    </row>
    <row r="8" spans="1:9" s="298" customFormat="1" ht="25.5" x14ac:dyDescent="0.25">
      <c r="A8"/>
      <c r="B8" s="1326"/>
      <c r="C8" s="1326"/>
      <c r="D8" s="299"/>
      <c r="E8" s="300" t="s">
        <v>870</v>
      </c>
      <c r="F8" s="1326"/>
      <c r="G8" s="1324" t="s">
        <v>871</v>
      </c>
      <c r="H8" s="1326"/>
      <c r="I8" s="1324"/>
    </row>
    <row r="9" spans="1:9" x14ac:dyDescent="0.25">
      <c r="B9" s="31" t="s">
        <v>103</v>
      </c>
      <c r="C9" s="31" t="s">
        <v>102</v>
      </c>
      <c r="D9" s="178" t="s">
        <v>97</v>
      </c>
      <c r="E9" s="178" t="s">
        <v>96</v>
      </c>
      <c r="F9" s="178" t="s">
        <v>95</v>
      </c>
      <c r="G9" s="178" t="s">
        <v>111</v>
      </c>
      <c r="H9" s="178" t="s">
        <v>112</v>
      </c>
      <c r="I9" s="178" t="s">
        <v>164</v>
      </c>
    </row>
    <row r="10" spans="1:9" x14ac:dyDescent="0.25">
      <c r="B10" s="1320"/>
      <c r="C10" s="301" t="s">
        <v>778</v>
      </c>
      <c r="D10" s="250"/>
      <c r="E10" s="20"/>
      <c r="F10" s="20"/>
      <c r="G10" s="20"/>
      <c r="H10" s="20"/>
      <c r="I10" s="20"/>
    </row>
    <row r="11" spans="1:9" x14ac:dyDescent="0.25">
      <c r="B11" s="1321"/>
      <c r="C11" s="302" t="s">
        <v>779</v>
      </c>
      <c r="D11" s="250"/>
      <c r="E11" s="20"/>
      <c r="F11" s="20"/>
      <c r="G11" s="20"/>
      <c r="H11" s="20"/>
      <c r="I11" s="20"/>
    </row>
    <row r="12" spans="1:9" x14ac:dyDescent="0.25">
      <c r="B12" s="1321"/>
      <c r="C12" s="302" t="s">
        <v>780</v>
      </c>
      <c r="D12" s="250"/>
      <c r="E12" s="20"/>
      <c r="F12" s="20"/>
      <c r="G12" s="20"/>
      <c r="H12" s="20"/>
      <c r="I12" s="20"/>
    </row>
    <row r="13" spans="1:9" x14ac:dyDescent="0.25">
      <c r="B13" s="1321"/>
      <c r="C13" s="301" t="s">
        <v>781</v>
      </c>
      <c r="D13" s="250"/>
      <c r="E13" s="20"/>
      <c r="F13" s="20"/>
      <c r="G13" s="20"/>
      <c r="H13" s="20"/>
      <c r="I13" s="20"/>
    </row>
    <row r="14" spans="1:9" x14ac:dyDescent="0.25">
      <c r="B14" s="1321"/>
      <c r="C14" s="301" t="s">
        <v>782</v>
      </c>
      <c r="D14" s="250"/>
      <c r="E14" s="20"/>
      <c r="F14" s="20"/>
      <c r="G14" s="20"/>
      <c r="H14" s="20"/>
      <c r="I14" s="20"/>
    </row>
    <row r="15" spans="1:9" x14ac:dyDescent="0.25">
      <c r="B15" s="1321"/>
      <c r="C15" s="301" t="s">
        <v>783</v>
      </c>
      <c r="D15" s="20"/>
      <c r="E15" s="20"/>
      <c r="F15" s="20"/>
      <c r="G15" s="20"/>
      <c r="H15" s="20"/>
      <c r="I15" s="20"/>
    </row>
    <row r="16" spans="1:9" x14ac:dyDescent="0.25">
      <c r="B16" s="1321"/>
      <c r="C16" s="301" t="s">
        <v>784</v>
      </c>
      <c r="D16" s="20"/>
      <c r="E16" s="20"/>
      <c r="F16" s="20"/>
      <c r="G16" s="20"/>
      <c r="H16" s="20"/>
      <c r="I16" s="20"/>
    </row>
    <row r="17" spans="1:9" x14ac:dyDescent="0.25">
      <c r="B17" s="1321"/>
      <c r="C17" s="302" t="s">
        <v>785</v>
      </c>
      <c r="D17" s="20"/>
      <c r="E17" s="20"/>
      <c r="F17" s="20"/>
      <c r="G17" s="20"/>
      <c r="H17" s="20"/>
      <c r="I17" s="20"/>
    </row>
    <row r="18" spans="1:9" x14ac:dyDescent="0.25">
      <c r="B18" s="1321"/>
      <c r="C18" s="302" t="s">
        <v>786</v>
      </c>
      <c r="D18" s="20"/>
      <c r="E18" s="20"/>
      <c r="F18" s="20"/>
      <c r="G18" s="20"/>
      <c r="H18" s="20"/>
      <c r="I18" s="20"/>
    </row>
    <row r="19" spans="1:9" x14ac:dyDescent="0.25">
      <c r="B19" s="1321"/>
      <c r="C19" s="301" t="s">
        <v>787</v>
      </c>
      <c r="D19" s="20"/>
      <c r="E19" s="20"/>
      <c r="F19" s="20"/>
      <c r="G19" s="20"/>
      <c r="H19" s="20"/>
      <c r="I19" s="20"/>
    </row>
    <row r="20" spans="1:9" x14ac:dyDescent="0.25">
      <c r="B20" s="1321"/>
      <c r="C20" s="302" t="s">
        <v>788</v>
      </c>
      <c r="D20" s="20"/>
      <c r="E20" s="20"/>
      <c r="F20" s="20"/>
      <c r="G20" s="20"/>
      <c r="H20" s="20"/>
      <c r="I20" s="20"/>
    </row>
    <row r="21" spans="1:9" x14ac:dyDescent="0.25">
      <c r="B21" s="1321"/>
      <c r="C21" s="302" t="s">
        <v>789</v>
      </c>
      <c r="D21" s="20"/>
      <c r="E21" s="20"/>
      <c r="F21" s="20"/>
      <c r="G21" s="20"/>
      <c r="H21" s="20"/>
      <c r="I21" s="20"/>
    </row>
    <row r="22" spans="1:9" x14ac:dyDescent="0.25">
      <c r="B22" s="1321"/>
      <c r="C22" s="301" t="s">
        <v>790</v>
      </c>
      <c r="D22" s="20"/>
      <c r="E22" s="20"/>
      <c r="F22" s="20"/>
      <c r="G22" s="20"/>
      <c r="H22" s="20"/>
      <c r="I22" s="20"/>
    </row>
    <row r="23" spans="1:9" x14ac:dyDescent="0.25">
      <c r="B23" s="1321"/>
      <c r="C23" s="302" t="s">
        <v>791</v>
      </c>
      <c r="D23" s="20"/>
      <c r="E23" s="20"/>
      <c r="F23" s="20"/>
      <c r="G23" s="20"/>
      <c r="H23" s="20"/>
      <c r="I23" s="20"/>
    </row>
    <row r="24" spans="1:9" x14ac:dyDescent="0.25">
      <c r="B24" s="1321"/>
      <c r="C24" s="303" t="s">
        <v>792</v>
      </c>
      <c r="D24" s="20"/>
      <c r="E24" s="20"/>
      <c r="F24" s="20"/>
      <c r="G24" s="20"/>
      <c r="H24" s="20"/>
      <c r="I24" s="20"/>
    </row>
    <row r="25" spans="1:9" x14ac:dyDescent="0.25">
      <c r="B25" s="1321"/>
      <c r="C25" s="302" t="s">
        <v>793</v>
      </c>
      <c r="D25" s="20"/>
      <c r="E25" s="20"/>
      <c r="F25" s="20"/>
      <c r="G25" s="20"/>
      <c r="H25" s="20"/>
      <c r="I25" s="20"/>
    </row>
    <row r="26" spans="1:9" x14ac:dyDescent="0.25">
      <c r="B26" s="1322"/>
      <c r="C26" s="301" t="s">
        <v>794</v>
      </c>
      <c r="D26" s="20"/>
      <c r="E26" s="20"/>
      <c r="F26" s="20"/>
      <c r="G26" s="20"/>
      <c r="H26" s="20"/>
      <c r="I26" s="20"/>
    </row>
    <row r="30" spans="1:9" x14ac:dyDescent="0.25">
      <c r="B30" s="297" t="s">
        <v>797</v>
      </c>
    </row>
    <row r="31" spans="1:9" s="298" customFormat="1" ht="15" customHeight="1" x14ac:dyDescent="0.25">
      <c r="A31"/>
      <c r="B31" s="1325" t="s">
        <v>865</v>
      </c>
      <c r="C31" s="1325" t="s">
        <v>766</v>
      </c>
      <c r="D31" s="1327" t="s">
        <v>866</v>
      </c>
      <c r="E31" s="1328"/>
      <c r="F31" s="1325" t="s">
        <v>867</v>
      </c>
      <c r="G31" s="1329" t="s">
        <v>769</v>
      </c>
      <c r="H31" s="1323" t="s">
        <v>868</v>
      </c>
      <c r="I31" s="1323" t="s">
        <v>869</v>
      </c>
    </row>
    <row r="32" spans="1:9" s="298" customFormat="1" ht="25.5" x14ac:dyDescent="0.25">
      <c r="A32"/>
      <c r="B32" s="1326"/>
      <c r="C32" s="1326"/>
      <c r="D32" s="299"/>
      <c r="E32" s="300" t="s">
        <v>870</v>
      </c>
      <c r="F32" s="1326"/>
      <c r="G32" s="1330"/>
      <c r="H32" s="1324"/>
      <c r="I32" s="1324"/>
    </row>
    <row r="33" spans="2:9" x14ac:dyDescent="0.25">
      <c r="B33" s="31" t="s">
        <v>103</v>
      </c>
      <c r="C33" s="31" t="s">
        <v>102</v>
      </c>
      <c r="D33" s="178" t="s">
        <v>97</v>
      </c>
      <c r="E33" s="178" t="s">
        <v>96</v>
      </c>
      <c r="F33" s="178" t="s">
        <v>95</v>
      </c>
      <c r="G33" s="304" t="s">
        <v>111</v>
      </c>
      <c r="H33" s="305" t="s">
        <v>112</v>
      </c>
      <c r="I33" s="305" t="s">
        <v>164</v>
      </c>
    </row>
    <row r="34" spans="2:9" x14ac:dyDescent="0.25">
      <c r="B34" s="1320"/>
      <c r="C34" s="301" t="s">
        <v>778</v>
      </c>
      <c r="D34" s="250"/>
      <c r="E34" s="20"/>
      <c r="F34" s="20"/>
      <c r="G34" s="20"/>
      <c r="H34" s="20"/>
      <c r="I34" s="20"/>
    </row>
    <row r="35" spans="2:9" x14ac:dyDescent="0.25">
      <c r="B35" s="1321"/>
      <c r="C35" s="302" t="s">
        <v>779</v>
      </c>
      <c r="D35" s="250"/>
      <c r="E35" s="20"/>
      <c r="F35" s="20"/>
      <c r="G35" s="20"/>
      <c r="H35" s="20"/>
      <c r="I35" s="20"/>
    </row>
    <row r="36" spans="2:9" x14ac:dyDescent="0.25">
      <c r="B36" s="1321"/>
      <c r="C36" s="302" t="s">
        <v>780</v>
      </c>
      <c r="D36" s="250"/>
      <c r="E36" s="20"/>
      <c r="F36" s="20"/>
      <c r="G36" s="20"/>
      <c r="H36" s="20"/>
      <c r="I36" s="20"/>
    </row>
    <row r="37" spans="2:9" x14ac:dyDescent="0.25">
      <c r="B37" s="1321"/>
      <c r="C37" s="301" t="s">
        <v>781</v>
      </c>
      <c r="D37" s="250"/>
      <c r="E37" s="20"/>
      <c r="F37" s="20"/>
      <c r="G37" s="20"/>
      <c r="H37" s="20"/>
      <c r="I37" s="20"/>
    </row>
    <row r="38" spans="2:9" x14ac:dyDescent="0.25">
      <c r="B38" s="1321"/>
      <c r="C38" s="301" t="s">
        <v>782</v>
      </c>
      <c r="D38" s="250"/>
      <c r="E38" s="20"/>
      <c r="F38" s="20"/>
      <c r="G38" s="20"/>
      <c r="H38" s="20"/>
      <c r="I38" s="20"/>
    </row>
    <row r="39" spans="2:9" x14ac:dyDescent="0.25">
      <c r="B39" s="1321"/>
      <c r="C39" s="301" t="s">
        <v>783</v>
      </c>
      <c r="D39" s="20"/>
      <c r="E39" s="20"/>
      <c r="F39" s="20"/>
      <c r="G39" s="20"/>
      <c r="H39" s="20"/>
      <c r="I39" s="20"/>
    </row>
    <row r="40" spans="2:9" x14ac:dyDescent="0.25">
      <c r="B40" s="1321"/>
      <c r="C40" s="301" t="s">
        <v>784</v>
      </c>
      <c r="D40" s="20"/>
      <c r="E40" s="20"/>
      <c r="F40" s="20"/>
      <c r="G40" s="20"/>
      <c r="H40" s="20"/>
      <c r="I40" s="20"/>
    </row>
    <row r="41" spans="2:9" x14ac:dyDescent="0.25">
      <c r="B41" s="1321"/>
      <c r="C41" s="302" t="s">
        <v>785</v>
      </c>
      <c r="D41" s="20"/>
      <c r="E41" s="20"/>
      <c r="F41" s="20"/>
      <c r="G41" s="20"/>
      <c r="H41" s="20"/>
      <c r="I41" s="20"/>
    </row>
    <row r="42" spans="2:9" x14ac:dyDescent="0.25">
      <c r="B42" s="1321"/>
      <c r="C42" s="302" t="s">
        <v>786</v>
      </c>
      <c r="D42" s="20"/>
      <c r="E42" s="20"/>
      <c r="F42" s="20"/>
      <c r="G42" s="20"/>
      <c r="H42" s="20"/>
      <c r="I42" s="20"/>
    </row>
    <row r="43" spans="2:9" x14ac:dyDescent="0.25">
      <c r="B43" s="1321"/>
      <c r="C43" s="301" t="s">
        <v>787</v>
      </c>
      <c r="D43" s="20"/>
      <c r="E43" s="20"/>
      <c r="F43" s="20"/>
      <c r="G43" s="20"/>
      <c r="H43" s="20"/>
      <c r="I43" s="20"/>
    </row>
    <row r="44" spans="2:9" x14ac:dyDescent="0.25">
      <c r="B44" s="1321"/>
      <c r="C44" s="302" t="s">
        <v>788</v>
      </c>
      <c r="D44" s="20"/>
      <c r="E44" s="20"/>
      <c r="F44" s="20"/>
      <c r="G44" s="20"/>
      <c r="H44" s="20"/>
      <c r="I44" s="20"/>
    </row>
    <row r="45" spans="2:9" x14ac:dyDescent="0.25">
      <c r="B45" s="1321"/>
      <c r="C45" s="302" t="s">
        <v>789</v>
      </c>
      <c r="D45" s="20"/>
      <c r="E45" s="20"/>
      <c r="F45" s="20"/>
      <c r="G45" s="20"/>
      <c r="H45" s="20"/>
      <c r="I45" s="20"/>
    </row>
    <row r="46" spans="2:9" x14ac:dyDescent="0.25">
      <c r="B46" s="1321"/>
      <c r="C46" s="301" t="s">
        <v>790</v>
      </c>
      <c r="D46" s="20"/>
      <c r="E46" s="20"/>
      <c r="F46" s="20"/>
      <c r="G46" s="20"/>
      <c r="H46" s="20"/>
      <c r="I46" s="20"/>
    </row>
    <row r="47" spans="2:9" x14ac:dyDescent="0.25">
      <c r="B47" s="1321"/>
      <c r="C47" s="302" t="s">
        <v>791</v>
      </c>
      <c r="D47" s="20"/>
      <c r="E47" s="20"/>
      <c r="F47" s="20"/>
      <c r="G47" s="20"/>
      <c r="H47" s="20"/>
      <c r="I47" s="20"/>
    </row>
    <row r="48" spans="2:9" x14ac:dyDescent="0.25">
      <c r="B48" s="1321"/>
      <c r="C48" s="303" t="s">
        <v>792</v>
      </c>
      <c r="D48" s="20"/>
      <c r="E48" s="20"/>
      <c r="F48" s="20"/>
      <c r="G48" s="20"/>
      <c r="H48" s="20"/>
      <c r="I48" s="20"/>
    </row>
    <row r="49" spans="2:9" x14ac:dyDescent="0.25">
      <c r="B49" s="1321"/>
      <c r="C49" s="302" t="s">
        <v>793</v>
      </c>
      <c r="D49" s="20"/>
      <c r="E49" s="20"/>
      <c r="F49" s="20"/>
      <c r="G49" s="20"/>
      <c r="H49" s="20"/>
      <c r="I49" s="20"/>
    </row>
    <row r="50" spans="2:9" x14ac:dyDescent="0.25">
      <c r="B50" s="1322"/>
      <c r="C50" s="301" t="s">
        <v>794</v>
      </c>
      <c r="D50" s="20"/>
      <c r="E50" s="20"/>
      <c r="F50" s="20"/>
      <c r="G50" s="20"/>
      <c r="H50" s="20"/>
      <c r="I50" s="20"/>
    </row>
  </sheetData>
  <mergeCells count="16">
    <mergeCell ref="B34:B50"/>
    <mergeCell ref="I7:I8"/>
    <mergeCell ref="B10:B26"/>
    <mergeCell ref="B31:B32"/>
    <mergeCell ref="C31:C32"/>
    <mergeCell ref="D31:E31"/>
    <mergeCell ref="F31:F32"/>
    <mergeCell ref="G31:G32"/>
    <mergeCell ref="H31:H32"/>
    <mergeCell ref="I31:I32"/>
    <mergeCell ref="B7:B8"/>
    <mergeCell ref="C7:C8"/>
    <mergeCell ref="D7:E7"/>
    <mergeCell ref="F7:F8"/>
    <mergeCell ref="G7:G8"/>
    <mergeCell ref="H7:H8"/>
  </mergeCells>
  <hyperlinks>
    <hyperlink ref="B4" location="Indhold!B85" display="Skema CR9 –IRB-metoden – Back-testing af PD efter eksponeringsklasse. (fastsat PD-skala)" xr:uid="{347C7356-476F-4038-A40C-A612BD83E10B}"/>
  </hyperlinks>
  <pageMargins left="0.70866141732283472" right="0.70866141732283472" top="0.78740157480314965" bottom="0.78740157480314965" header="0.31496062992125984" footer="0.31496062992125984"/>
  <pageSetup paperSize="9" scale="60" orientation="landscape" cellComments="asDisplayed" r:id="rId1"/>
  <headerFooter>
    <oddHeader>&amp;CDA
Bilag XXI</oddHeader>
    <oddFooter>&amp;C&amp;P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F2EB3-C9F9-4918-A897-3E1EAC013237}">
  <sheetPr>
    <tabColor rgb="FFFF0000"/>
    <pageSetUpPr fitToPage="1"/>
  </sheetPr>
  <dimension ref="A2:I29"/>
  <sheetViews>
    <sheetView showGridLines="0" zoomScaleNormal="100" zoomScaleSheetLayoutView="100" zoomScalePageLayoutView="80" workbookViewId="0">
      <selection activeCell="B2" sqref="B2"/>
    </sheetView>
  </sheetViews>
  <sheetFormatPr defaultColWidth="11.5703125" defaultRowHeight="15" x14ac:dyDescent="0.25"/>
  <cols>
    <col min="2" max="2" width="25.7109375" customWidth="1"/>
    <col min="3" max="3" width="31.42578125" customWidth="1"/>
    <col min="4" max="4" width="21.42578125" customWidth="1"/>
    <col min="5" max="5" width="20.28515625" customWidth="1"/>
    <col min="6" max="6" width="26.42578125" customWidth="1"/>
    <col min="7" max="7" width="32" customWidth="1"/>
    <col min="8" max="8" width="17.85546875" customWidth="1"/>
    <col min="9" max="9" width="18.5703125" customWidth="1"/>
  </cols>
  <sheetData>
    <row r="2" spans="1:9" ht="18.75" x14ac:dyDescent="0.3">
      <c r="B2" s="866" t="s">
        <v>872</v>
      </c>
      <c r="C2" s="51"/>
      <c r="D2" s="51"/>
      <c r="E2" s="51"/>
      <c r="F2" s="51"/>
      <c r="G2" s="51"/>
    </row>
    <row r="3" spans="1:9" ht="21" x14ac:dyDescent="0.35">
      <c r="B3" s="297" t="s">
        <v>765</v>
      </c>
      <c r="C3" s="298"/>
      <c r="D3" s="238"/>
      <c r="E3" s="238"/>
      <c r="F3" s="238"/>
      <c r="G3" s="238"/>
    </row>
    <row r="4" spans="1:9" s="298" customFormat="1" ht="15" customHeight="1" x14ac:dyDescent="0.25">
      <c r="A4"/>
      <c r="B4" s="1325" t="s">
        <v>865</v>
      </c>
      <c r="C4" s="1325" t="s">
        <v>766</v>
      </c>
      <c r="D4" s="1325" t="s">
        <v>873</v>
      </c>
      <c r="E4" s="1327" t="s">
        <v>866</v>
      </c>
      <c r="F4" s="1328"/>
      <c r="G4" s="1325" t="s">
        <v>867</v>
      </c>
      <c r="H4" s="1325" t="s">
        <v>868</v>
      </c>
      <c r="I4" s="1323" t="s">
        <v>869</v>
      </c>
    </row>
    <row r="5" spans="1:9" s="298" customFormat="1" ht="53.25" customHeight="1" x14ac:dyDescent="0.25">
      <c r="A5"/>
      <c r="B5" s="1326"/>
      <c r="C5" s="1326"/>
      <c r="D5" s="1326"/>
      <c r="E5" s="299"/>
      <c r="F5" s="300" t="s">
        <v>870</v>
      </c>
      <c r="G5" s="1326"/>
      <c r="H5" s="1326"/>
      <c r="I5" s="1324"/>
    </row>
    <row r="6" spans="1:9" x14ac:dyDescent="0.25">
      <c r="B6" s="31" t="s">
        <v>103</v>
      </c>
      <c r="C6" s="31" t="s">
        <v>102</v>
      </c>
      <c r="D6" s="31" t="s">
        <v>97</v>
      </c>
      <c r="E6" s="178" t="s">
        <v>96</v>
      </c>
      <c r="F6" s="178" t="s">
        <v>95</v>
      </c>
      <c r="G6" s="178" t="s">
        <v>111</v>
      </c>
      <c r="H6" s="178" t="s">
        <v>112</v>
      </c>
      <c r="I6" s="178" t="s">
        <v>164</v>
      </c>
    </row>
    <row r="7" spans="1:9" x14ac:dyDescent="0.25">
      <c r="B7" s="1320"/>
      <c r="C7" s="301"/>
      <c r="D7" s="301"/>
      <c r="E7" s="250"/>
      <c r="F7" s="20"/>
      <c r="G7" s="20"/>
      <c r="H7" s="20"/>
      <c r="I7" s="20"/>
    </row>
    <row r="8" spans="1:9" x14ac:dyDescent="0.25">
      <c r="B8" s="1321"/>
      <c r="C8" s="302"/>
      <c r="D8" s="302"/>
      <c r="E8" s="250"/>
      <c r="F8" s="20"/>
      <c r="G8" s="20"/>
      <c r="H8" s="20"/>
      <c r="I8" s="20"/>
    </row>
    <row r="9" spans="1:9" x14ac:dyDescent="0.25">
      <c r="B9" s="1321"/>
      <c r="C9" s="302"/>
      <c r="D9" s="302"/>
      <c r="E9" s="250"/>
      <c r="F9" s="20"/>
      <c r="G9" s="20"/>
      <c r="H9" s="20"/>
      <c r="I9" s="20"/>
    </row>
    <row r="10" spans="1:9" x14ac:dyDescent="0.25">
      <c r="B10" s="1321"/>
      <c r="C10" s="301"/>
      <c r="D10" s="301"/>
      <c r="E10" s="250"/>
      <c r="F10" s="20"/>
      <c r="G10" s="20"/>
      <c r="H10" s="20"/>
      <c r="I10" s="20"/>
    </row>
    <row r="11" spans="1:9" x14ac:dyDescent="0.25">
      <c r="B11" s="1321"/>
      <c r="C11" s="301"/>
      <c r="D11" s="301"/>
      <c r="E11" s="250"/>
      <c r="F11" s="20"/>
      <c r="G11" s="20"/>
      <c r="H11" s="20"/>
      <c r="I11" s="20"/>
    </row>
    <row r="12" spans="1:9" x14ac:dyDescent="0.25">
      <c r="B12" s="1321"/>
      <c r="C12" s="301"/>
      <c r="D12" s="301"/>
      <c r="E12" s="20"/>
      <c r="F12" s="20"/>
      <c r="G12" s="20"/>
      <c r="H12" s="20"/>
      <c r="I12" s="20"/>
    </row>
    <row r="13" spans="1:9" x14ac:dyDescent="0.25">
      <c r="B13" s="1321"/>
      <c r="C13" s="301"/>
      <c r="D13" s="301"/>
      <c r="E13" s="20"/>
      <c r="F13" s="20"/>
      <c r="G13" s="20"/>
      <c r="H13" s="20"/>
      <c r="I13" s="20"/>
    </row>
    <row r="14" spans="1:9" x14ac:dyDescent="0.25">
      <c r="B14" s="1322"/>
      <c r="C14" s="302"/>
      <c r="D14" s="302"/>
      <c r="E14" s="20"/>
      <c r="F14" s="20"/>
      <c r="G14" s="20"/>
      <c r="H14" s="20"/>
      <c r="I14" s="20"/>
    </row>
    <row r="18" spans="1:9" x14ac:dyDescent="0.25">
      <c r="B18" s="297" t="s">
        <v>797</v>
      </c>
    </row>
    <row r="19" spans="1:9" s="298" customFormat="1" ht="15" customHeight="1" x14ac:dyDescent="0.25">
      <c r="A19"/>
      <c r="B19" s="1325" t="s">
        <v>865</v>
      </c>
      <c r="C19" s="1325" t="s">
        <v>766</v>
      </c>
      <c r="D19" s="1325" t="s">
        <v>873</v>
      </c>
      <c r="E19" s="1327" t="s">
        <v>866</v>
      </c>
      <c r="F19" s="1328"/>
      <c r="G19" s="1325" t="s">
        <v>867</v>
      </c>
      <c r="H19" s="1325" t="s">
        <v>868</v>
      </c>
      <c r="I19" s="1323" t="s">
        <v>869</v>
      </c>
    </row>
    <row r="20" spans="1:9" s="298" customFormat="1" ht="57" customHeight="1" x14ac:dyDescent="0.25">
      <c r="A20"/>
      <c r="B20" s="1326"/>
      <c r="C20" s="1326"/>
      <c r="D20" s="1326"/>
      <c r="E20" s="299"/>
      <c r="F20" s="300" t="s">
        <v>870</v>
      </c>
      <c r="G20" s="1326"/>
      <c r="H20" s="1326"/>
      <c r="I20" s="1324"/>
    </row>
    <row r="21" spans="1:9" x14ac:dyDescent="0.25">
      <c r="B21" s="31" t="s">
        <v>103</v>
      </c>
      <c r="C21" s="31" t="s">
        <v>102</v>
      </c>
      <c r="D21" s="31" t="s">
        <v>97</v>
      </c>
      <c r="E21" s="178" t="s">
        <v>96</v>
      </c>
      <c r="F21" s="178" t="s">
        <v>95</v>
      </c>
      <c r="G21" s="178" t="s">
        <v>111</v>
      </c>
      <c r="H21" s="178" t="s">
        <v>112</v>
      </c>
      <c r="I21" s="178" t="s">
        <v>164</v>
      </c>
    </row>
    <row r="22" spans="1:9" x14ac:dyDescent="0.25">
      <c r="B22" s="1320"/>
      <c r="C22" s="301"/>
      <c r="D22" s="301"/>
      <c r="E22" s="250"/>
      <c r="F22" s="20"/>
      <c r="G22" s="20"/>
      <c r="H22" s="20"/>
      <c r="I22" s="20"/>
    </row>
    <row r="23" spans="1:9" x14ac:dyDescent="0.25">
      <c r="B23" s="1321"/>
      <c r="C23" s="302"/>
      <c r="D23" s="302"/>
      <c r="E23" s="250"/>
      <c r="F23" s="20"/>
      <c r="G23" s="20"/>
      <c r="H23" s="20"/>
      <c r="I23" s="20"/>
    </row>
    <row r="24" spans="1:9" x14ac:dyDescent="0.25">
      <c r="B24" s="1321"/>
      <c r="C24" s="302"/>
      <c r="D24" s="302"/>
      <c r="E24" s="250"/>
      <c r="F24" s="20"/>
      <c r="G24" s="20"/>
      <c r="H24" s="20"/>
      <c r="I24" s="20"/>
    </row>
    <row r="25" spans="1:9" x14ac:dyDescent="0.25">
      <c r="B25" s="1321"/>
      <c r="C25" s="301"/>
      <c r="D25" s="301"/>
      <c r="E25" s="250"/>
      <c r="F25" s="20"/>
      <c r="G25" s="20"/>
      <c r="H25" s="20"/>
      <c r="I25" s="20"/>
    </row>
    <row r="26" spans="1:9" x14ac:dyDescent="0.25">
      <c r="B26" s="1321"/>
      <c r="C26" s="301"/>
      <c r="D26" s="301"/>
      <c r="E26" s="250"/>
      <c r="F26" s="20"/>
      <c r="G26" s="20"/>
      <c r="H26" s="20"/>
      <c r="I26" s="20"/>
    </row>
    <row r="27" spans="1:9" x14ac:dyDescent="0.25">
      <c r="B27" s="1321"/>
      <c r="C27" s="301"/>
      <c r="D27" s="301"/>
      <c r="E27" s="20"/>
      <c r="F27" s="20"/>
      <c r="G27" s="20"/>
      <c r="H27" s="20"/>
      <c r="I27" s="20"/>
    </row>
    <row r="28" spans="1:9" x14ac:dyDescent="0.25">
      <c r="B28" s="1321"/>
      <c r="C28" s="301"/>
      <c r="D28" s="301"/>
      <c r="E28" s="20"/>
      <c r="F28" s="20"/>
      <c r="G28" s="20"/>
      <c r="H28" s="20"/>
      <c r="I28" s="20"/>
    </row>
    <row r="29" spans="1:9" x14ac:dyDescent="0.25">
      <c r="B29" s="1322"/>
      <c r="C29" s="302"/>
      <c r="D29" s="302"/>
      <c r="E29" s="20"/>
      <c r="F29" s="20"/>
      <c r="G29" s="20"/>
      <c r="H29" s="20"/>
      <c r="I29" s="20"/>
    </row>
  </sheetData>
  <mergeCells count="16">
    <mergeCell ref="B22:B29"/>
    <mergeCell ref="I4:I5"/>
    <mergeCell ref="B7:B14"/>
    <mergeCell ref="B19:B20"/>
    <mergeCell ref="C19:C20"/>
    <mergeCell ref="D19:D20"/>
    <mergeCell ref="E19:F19"/>
    <mergeCell ref="G19:G20"/>
    <mergeCell ref="H19:H20"/>
    <mergeCell ref="I19:I20"/>
    <mergeCell ref="B4:B5"/>
    <mergeCell ref="C4:C5"/>
    <mergeCell ref="D4:D5"/>
    <mergeCell ref="E4:F4"/>
    <mergeCell ref="G4:G5"/>
    <mergeCell ref="H4:H5"/>
  </mergeCells>
  <hyperlinks>
    <hyperlink ref="B2" location="Indhold!B86" display="Skema CR9.1 – IRB metoden – Back-testing af PD efter eksponeringsklasse (kun for PD-estimater i henhold til artikel 180, stk. 1, litra f), i CRR)" xr:uid="{E85F8158-0799-4FE7-8777-FB4C0CD1A8AC}"/>
  </hyperlinks>
  <pageMargins left="0.70866141732283472" right="0.70866141732283472" top="0.78740157480314965" bottom="0.78740157480314965" header="0.31496062992125984" footer="0.31496062992125984"/>
  <pageSetup paperSize="9" scale="67" orientation="landscape" r:id="rId1"/>
  <headerFooter>
    <oddHeader>&amp;CDA
Bilag XXI</oddHeader>
    <oddFooter>&amp;C&amp;P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9F89A-80D2-4C76-B021-94220E540118}">
  <sheetPr>
    <tabColor rgb="FFFF0000"/>
    <pageSetUpPr fitToPage="1"/>
  </sheetPr>
  <dimension ref="A1:H78"/>
  <sheetViews>
    <sheetView showGridLines="0" zoomScaleNormal="100" workbookViewId="0"/>
  </sheetViews>
  <sheetFormatPr defaultRowHeight="15" x14ac:dyDescent="0.25"/>
  <cols>
    <col min="1" max="1" width="14.7109375" customWidth="1"/>
    <col min="2" max="2" width="16.5703125" customWidth="1"/>
    <col min="3" max="3" width="16.85546875" customWidth="1"/>
    <col min="4" max="4" width="17.7109375" customWidth="1"/>
    <col min="5" max="5" width="16.140625" customWidth="1"/>
    <col min="6" max="6" width="23.7109375" customWidth="1"/>
    <col min="7" max="7" width="17.140625" customWidth="1"/>
    <col min="8" max="8" width="18.28515625" customWidth="1"/>
  </cols>
  <sheetData>
    <row r="1" spans="1:8" ht="21" x14ac:dyDescent="0.35">
      <c r="A1" s="866" t="s">
        <v>874</v>
      </c>
      <c r="B1" s="259"/>
      <c r="C1" s="259"/>
      <c r="D1" s="259"/>
      <c r="E1" s="259"/>
      <c r="F1" s="259"/>
      <c r="G1" s="238"/>
      <c r="H1" s="238"/>
    </row>
    <row r="3" spans="1:8" x14ac:dyDescent="0.25">
      <c r="A3" s="32" t="s">
        <v>875</v>
      </c>
    </row>
    <row r="4" spans="1:8" x14ac:dyDescent="0.25">
      <c r="A4" s="1335" t="s">
        <v>876</v>
      </c>
      <c r="B4" s="1335"/>
      <c r="C4" s="1335"/>
      <c r="D4" s="1335"/>
      <c r="E4" s="1335"/>
      <c r="F4" s="1335"/>
      <c r="G4" s="1335"/>
      <c r="H4" s="1335"/>
    </row>
    <row r="5" spans="1:8" ht="30" x14ac:dyDescent="0.25">
      <c r="A5" s="1336" t="s">
        <v>877</v>
      </c>
      <c r="B5" s="1336" t="s">
        <v>878</v>
      </c>
      <c r="C5" s="6" t="s">
        <v>879</v>
      </c>
      <c r="D5" s="6" t="s">
        <v>880</v>
      </c>
      <c r="E5" s="239" t="s">
        <v>755</v>
      </c>
      <c r="F5" s="239" t="s">
        <v>101</v>
      </c>
      <c r="G5" s="239" t="s">
        <v>854</v>
      </c>
      <c r="H5" s="239" t="s">
        <v>775</v>
      </c>
    </row>
    <row r="6" spans="1:8" x14ac:dyDescent="0.25">
      <c r="A6" s="1337"/>
      <c r="B6" s="1337"/>
      <c r="C6" s="31" t="s">
        <v>103</v>
      </c>
      <c r="D6" s="31" t="s">
        <v>102</v>
      </c>
      <c r="E6" s="31" t="s">
        <v>97</v>
      </c>
      <c r="F6" s="31" t="s">
        <v>96</v>
      </c>
      <c r="G6" s="31" t="s">
        <v>95</v>
      </c>
      <c r="H6" s="31" t="s">
        <v>111</v>
      </c>
    </row>
    <row r="7" spans="1:8" x14ac:dyDescent="0.25">
      <c r="A7" s="1334" t="s">
        <v>881</v>
      </c>
      <c r="B7" s="250" t="s">
        <v>882</v>
      </c>
      <c r="C7" s="250"/>
      <c r="D7" s="250"/>
      <c r="E7" s="306">
        <v>0.5</v>
      </c>
      <c r="F7" s="250"/>
      <c r="G7" s="250"/>
      <c r="H7" s="250"/>
    </row>
    <row r="8" spans="1:8" ht="30" x14ac:dyDescent="0.25">
      <c r="A8" s="1334"/>
      <c r="B8" s="250" t="s">
        <v>883</v>
      </c>
      <c r="C8" s="250"/>
      <c r="D8" s="250"/>
      <c r="E8" s="306">
        <v>0.7</v>
      </c>
      <c r="F8" s="250"/>
      <c r="G8" s="250"/>
      <c r="H8" s="250"/>
    </row>
    <row r="9" spans="1:8" x14ac:dyDescent="0.25">
      <c r="A9" s="1334" t="s">
        <v>884</v>
      </c>
      <c r="B9" s="250" t="s">
        <v>882</v>
      </c>
      <c r="C9" s="250"/>
      <c r="D9" s="250"/>
      <c r="E9" s="306">
        <v>0.7</v>
      </c>
      <c r="F9" s="250"/>
      <c r="G9" s="250"/>
      <c r="H9" s="250"/>
    </row>
    <row r="10" spans="1:8" ht="30" x14ac:dyDescent="0.25">
      <c r="A10" s="1334"/>
      <c r="B10" s="250" t="s">
        <v>883</v>
      </c>
      <c r="C10" s="250"/>
      <c r="D10" s="250"/>
      <c r="E10" s="306">
        <v>0.9</v>
      </c>
      <c r="F10" s="250"/>
      <c r="G10" s="250"/>
      <c r="H10" s="250"/>
    </row>
    <row r="11" spans="1:8" x14ac:dyDescent="0.25">
      <c r="A11" s="1334" t="s">
        <v>885</v>
      </c>
      <c r="B11" s="250" t="s">
        <v>882</v>
      </c>
      <c r="C11" s="250"/>
      <c r="D11" s="250"/>
      <c r="E11" s="306">
        <v>1.1499999999999999</v>
      </c>
      <c r="F11" s="250"/>
      <c r="G11" s="250"/>
      <c r="H11" s="250"/>
    </row>
    <row r="12" spans="1:8" ht="30" x14ac:dyDescent="0.25">
      <c r="A12" s="1334"/>
      <c r="B12" s="250" t="s">
        <v>883</v>
      </c>
      <c r="C12" s="250"/>
      <c r="D12" s="250"/>
      <c r="E12" s="306">
        <v>1.1499999999999999</v>
      </c>
      <c r="F12" s="250"/>
      <c r="G12" s="250"/>
      <c r="H12" s="250"/>
    </row>
    <row r="13" spans="1:8" x14ac:dyDescent="0.25">
      <c r="A13" s="1334" t="s">
        <v>886</v>
      </c>
      <c r="B13" s="250" t="s">
        <v>882</v>
      </c>
      <c r="C13" s="250"/>
      <c r="D13" s="250"/>
      <c r="E13" s="306">
        <v>2.5</v>
      </c>
      <c r="F13" s="250"/>
      <c r="G13" s="250"/>
      <c r="H13" s="250"/>
    </row>
    <row r="14" spans="1:8" ht="30" x14ac:dyDescent="0.25">
      <c r="A14" s="1334"/>
      <c r="B14" s="250" t="s">
        <v>883</v>
      </c>
      <c r="C14" s="250"/>
      <c r="D14" s="250"/>
      <c r="E14" s="306">
        <v>2.5</v>
      </c>
      <c r="F14" s="250"/>
      <c r="G14" s="250"/>
      <c r="H14" s="250"/>
    </row>
    <row r="15" spans="1:8" x14ac:dyDescent="0.25">
      <c r="A15" s="1334" t="s">
        <v>887</v>
      </c>
      <c r="B15" s="250" t="s">
        <v>882</v>
      </c>
      <c r="C15" s="250"/>
      <c r="D15" s="250"/>
      <c r="E15" s="307" t="s">
        <v>888</v>
      </c>
      <c r="F15" s="250"/>
      <c r="G15" s="250"/>
      <c r="H15" s="250"/>
    </row>
    <row r="16" spans="1:8" ht="30" x14ac:dyDescent="0.25">
      <c r="A16" s="1334"/>
      <c r="B16" s="250" t="s">
        <v>883</v>
      </c>
      <c r="C16" s="250"/>
      <c r="D16" s="250"/>
      <c r="E16" s="307" t="s">
        <v>888</v>
      </c>
      <c r="F16" s="250"/>
      <c r="G16" s="250"/>
      <c r="H16" s="250"/>
    </row>
    <row r="17" spans="1:8" x14ac:dyDescent="0.25">
      <c r="A17" s="1334" t="s">
        <v>0</v>
      </c>
      <c r="B17" s="250" t="s">
        <v>882</v>
      </c>
      <c r="C17" s="250"/>
      <c r="D17" s="250"/>
      <c r="E17" s="250"/>
      <c r="F17" s="250"/>
      <c r="G17" s="250"/>
      <c r="H17" s="250"/>
    </row>
    <row r="18" spans="1:8" ht="30" x14ac:dyDescent="0.25">
      <c r="A18" s="1334"/>
      <c r="B18" s="250" t="s">
        <v>883</v>
      </c>
      <c r="C18" s="250"/>
      <c r="D18" s="250"/>
      <c r="E18" s="250"/>
      <c r="F18" s="250"/>
      <c r="G18" s="250"/>
      <c r="H18" s="250"/>
    </row>
    <row r="20" spans="1:8" x14ac:dyDescent="0.25">
      <c r="A20" s="32" t="s">
        <v>889</v>
      </c>
    </row>
    <row r="21" spans="1:8" x14ac:dyDescent="0.25">
      <c r="A21" s="1335" t="s">
        <v>890</v>
      </c>
      <c r="B21" s="1335"/>
      <c r="C21" s="1335"/>
      <c r="D21" s="1335"/>
      <c r="E21" s="1335"/>
      <c r="F21" s="1335"/>
      <c r="G21" s="1335"/>
      <c r="H21" s="1335"/>
    </row>
    <row r="22" spans="1:8" ht="30" x14ac:dyDescent="0.25">
      <c r="A22" s="1336" t="s">
        <v>877</v>
      </c>
      <c r="B22" s="1336" t="s">
        <v>878</v>
      </c>
      <c r="C22" s="6" t="s">
        <v>879</v>
      </c>
      <c r="D22" s="6" t="s">
        <v>880</v>
      </c>
      <c r="E22" s="239" t="s">
        <v>755</v>
      </c>
      <c r="F22" s="239" t="s">
        <v>101</v>
      </c>
      <c r="G22" s="239" t="s">
        <v>854</v>
      </c>
      <c r="H22" s="239" t="s">
        <v>775</v>
      </c>
    </row>
    <row r="23" spans="1:8" x14ac:dyDescent="0.25">
      <c r="A23" s="1337"/>
      <c r="B23" s="1337"/>
      <c r="C23" s="31" t="s">
        <v>103</v>
      </c>
      <c r="D23" s="31" t="s">
        <v>102</v>
      </c>
      <c r="E23" s="31" t="s">
        <v>97</v>
      </c>
      <c r="F23" s="31" t="s">
        <v>96</v>
      </c>
      <c r="G23" s="31" t="s">
        <v>95</v>
      </c>
      <c r="H23" s="31" t="s">
        <v>111</v>
      </c>
    </row>
    <row r="24" spans="1:8" x14ac:dyDescent="0.25">
      <c r="A24" s="1334" t="s">
        <v>881</v>
      </c>
      <c r="B24" s="250" t="s">
        <v>882</v>
      </c>
      <c r="C24" s="250"/>
      <c r="D24" s="250"/>
      <c r="E24" s="306">
        <v>0.5</v>
      </c>
      <c r="F24" s="250"/>
      <c r="G24" s="250"/>
      <c r="H24" s="250"/>
    </row>
    <row r="25" spans="1:8" ht="30" x14ac:dyDescent="0.25">
      <c r="A25" s="1334"/>
      <c r="B25" s="250" t="s">
        <v>883</v>
      </c>
      <c r="C25" s="250"/>
      <c r="D25" s="250"/>
      <c r="E25" s="306">
        <v>0.7</v>
      </c>
      <c r="F25" s="250"/>
      <c r="G25" s="250"/>
      <c r="H25" s="250"/>
    </row>
    <row r="26" spans="1:8" x14ac:dyDescent="0.25">
      <c r="A26" s="1334" t="s">
        <v>884</v>
      </c>
      <c r="B26" s="250" t="s">
        <v>882</v>
      </c>
      <c r="C26" s="250"/>
      <c r="D26" s="250"/>
      <c r="E26" s="306">
        <v>0.7</v>
      </c>
      <c r="F26" s="250"/>
      <c r="G26" s="250"/>
      <c r="H26" s="250"/>
    </row>
    <row r="27" spans="1:8" ht="30" x14ac:dyDescent="0.25">
      <c r="A27" s="1334"/>
      <c r="B27" s="250" t="s">
        <v>883</v>
      </c>
      <c r="C27" s="250"/>
      <c r="D27" s="250"/>
      <c r="E27" s="306">
        <v>0.9</v>
      </c>
      <c r="F27" s="250"/>
      <c r="G27" s="250"/>
      <c r="H27" s="250"/>
    </row>
    <row r="28" spans="1:8" x14ac:dyDescent="0.25">
      <c r="A28" s="1334" t="s">
        <v>885</v>
      </c>
      <c r="B28" s="250" t="s">
        <v>882</v>
      </c>
      <c r="C28" s="250"/>
      <c r="D28" s="250"/>
      <c r="E28" s="306">
        <v>1.1499999999999999</v>
      </c>
      <c r="F28" s="250"/>
      <c r="G28" s="250"/>
      <c r="H28" s="250"/>
    </row>
    <row r="29" spans="1:8" ht="30" x14ac:dyDescent="0.25">
      <c r="A29" s="1334"/>
      <c r="B29" s="250" t="s">
        <v>883</v>
      </c>
      <c r="C29" s="250"/>
      <c r="D29" s="250"/>
      <c r="E29" s="306">
        <v>1.1499999999999999</v>
      </c>
      <c r="F29" s="250"/>
      <c r="G29" s="250"/>
      <c r="H29" s="250"/>
    </row>
    <row r="30" spans="1:8" x14ac:dyDescent="0.25">
      <c r="A30" s="1334" t="s">
        <v>886</v>
      </c>
      <c r="B30" s="250" t="s">
        <v>882</v>
      </c>
      <c r="C30" s="250"/>
      <c r="D30" s="250"/>
      <c r="E30" s="306">
        <v>2.5</v>
      </c>
      <c r="F30" s="250"/>
      <c r="G30" s="250"/>
      <c r="H30" s="250"/>
    </row>
    <row r="31" spans="1:8" ht="30" x14ac:dyDescent="0.25">
      <c r="A31" s="1334"/>
      <c r="B31" s="250" t="s">
        <v>883</v>
      </c>
      <c r="C31" s="250"/>
      <c r="D31" s="250"/>
      <c r="E31" s="306">
        <v>2.5</v>
      </c>
      <c r="F31" s="250"/>
      <c r="G31" s="250"/>
      <c r="H31" s="250"/>
    </row>
    <row r="32" spans="1:8" x14ac:dyDescent="0.25">
      <c r="A32" s="1334" t="s">
        <v>887</v>
      </c>
      <c r="B32" s="250" t="s">
        <v>882</v>
      </c>
      <c r="C32" s="250"/>
      <c r="D32" s="250"/>
      <c r="E32" s="307" t="s">
        <v>888</v>
      </c>
      <c r="F32" s="250"/>
      <c r="G32" s="250"/>
      <c r="H32" s="250"/>
    </row>
    <row r="33" spans="1:8" ht="30" x14ac:dyDescent="0.25">
      <c r="A33" s="1334"/>
      <c r="B33" s="250" t="s">
        <v>883</v>
      </c>
      <c r="C33" s="250"/>
      <c r="D33" s="250"/>
      <c r="E33" s="307" t="s">
        <v>888</v>
      </c>
      <c r="F33" s="250"/>
      <c r="G33" s="250"/>
      <c r="H33" s="250"/>
    </row>
    <row r="34" spans="1:8" x14ac:dyDescent="0.25">
      <c r="A34" s="1334" t="s">
        <v>0</v>
      </c>
      <c r="B34" s="250" t="s">
        <v>882</v>
      </c>
      <c r="C34" s="250"/>
      <c r="D34" s="250"/>
      <c r="E34" s="250"/>
      <c r="F34" s="250"/>
      <c r="G34" s="250"/>
      <c r="H34" s="250"/>
    </row>
    <row r="35" spans="1:8" ht="30" x14ac:dyDescent="0.25">
      <c r="A35" s="1334"/>
      <c r="B35" s="250" t="s">
        <v>883</v>
      </c>
      <c r="C35" s="250"/>
      <c r="D35" s="250"/>
      <c r="E35" s="250"/>
      <c r="F35" s="250"/>
      <c r="G35" s="250"/>
      <c r="H35" s="250"/>
    </row>
    <row r="37" spans="1:8" x14ac:dyDescent="0.25">
      <c r="A37" s="32" t="s">
        <v>891</v>
      </c>
    </row>
    <row r="38" spans="1:8" x14ac:dyDescent="0.25">
      <c r="A38" s="1335" t="s">
        <v>892</v>
      </c>
      <c r="B38" s="1335"/>
      <c r="C38" s="1335"/>
      <c r="D38" s="1335"/>
      <c r="E38" s="1335"/>
      <c r="F38" s="1335"/>
      <c r="G38" s="1335"/>
      <c r="H38" s="1335"/>
    </row>
    <row r="39" spans="1:8" ht="30" x14ac:dyDescent="0.25">
      <c r="A39" s="1332" t="s">
        <v>877</v>
      </c>
      <c r="B39" s="1332" t="s">
        <v>878</v>
      </c>
      <c r="C39" s="308" t="s">
        <v>879</v>
      </c>
      <c r="D39" s="308" t="s">
        <v>880</v>
      </c>
      <c r="E39" s="309" t="s">
        <v>755</v>
      </c>
      <c r="F39" s="309" t="s">
        <v>101</v>
      </c>
      <c r="G39" s="309" t="s">
        <v>854</v>
      </c>
      <c r="H39" s="309" t="s">
        <v>775</v>
      </c>
    </row>
    <row r="40" spans="1:8" x14ac:dyDescent="0.25">
      <c r="A40" s="1333"/>
      <c r="B40" s="1333"/>
      <c r="C40" s="307" t="s">
        <v>103</v>
      </c>
      <c r="D40" s="307" t="s">
        <v>102</v>
      </c>
      <c r="E40" s="307" t="s">
        <v>97</v>
      </c>
      <c r="F40" s="307" t="s">
        <v>96</v>
      </c>
      <c r="G40" s="307" t="s">
        <v>95</v>
      </c>
      <c r="H40" s="307" t="s">
        <v>111</v>
      </c>
    </row>
    <row r="41" spans="1:8" x14ac:dyDescent="0.25">
      <c r="A41" s="1334" t="s">
        <v>881</v>
      </c>
      <c r="B41" s="250" t="s">
        <v>882</v>
      </c>
      <c r="C41" s="250"/>
      <c r="D41" s="250"/>
      <c r="E41" s="306">
        <v>0.5</v>
      </c>
      <c r="F41" s="250"/>
      <c r="G41" s="250"/>
      <c r="H41" s="250"/>
    </row>
    <row r="42" spans="1:8" ht="30" x14ac:dyDescent="0.25">
      <c r="A42" s="1334"/>
      <c r="B42" s="250" t="s">
        <v>883</v>
      </c>
      <c r="C42" s="250"/>
      <c r="D42" s="250"/>
      <c r="E42" s="306">
        <v>0.7</v>
      </c>
      <c r="F42" s="250"/>
      <c r="G42" s="250"/>
      <c r="H42" s="250"/>
    </row>
    <row r="43" spans="1:8" x14ac:dyDescent="0.25">
      <c r="A43" s="1334" t="s">
        <v>884</v>
      </c>
      <c r="B43" s="250" t="s">
        <v>882</v>
      </c>
      <c r="C43" s="250"/>
      <c r="D43" s="250"/>
      <c r="E43" s="306">
        <v>0.7</v>
      </c>
      <c r="F43" s="250"/>
      <c r="G43" s="250"/>
      <c r="H43" s="250"/>
    </row>
    <row r="44" spans="1:8" ht="30" x14ac:dyDescent="0.25">
      <c r="A44" s="1334"/>
      <c r="B44" s="250" t="s">
        <v>883</v>
      </c>
      <c r="C44" s="250"/>
      <c r="D44" s="250"/>
      <c r="E44" s="306">
        <v>0.9</v>
      </c>
      <c r="F44" s="250"/>
      <c r="G44" s="250"/>
      <c r="H44" s="250"/>
    </row>
    <row r="45" spans="1:8" x14ac:dyDescent="0.25">
      <c r="A45" s="1334" t="s">
        <v>885</v>
      </c>
      <c r="B45" s="250" t="s">
        <v>882</v>
      </c>
      <c r="C45" s="250"/>
      <c r="D45" s="250"/>
      <c r="E45" s="306">
        <v>1.1499999999999999</v>
      </c>
      <c r="F45" s="250"/>
      <c r="G45" s="250"/>
      <c r="H45" s="250"/>
    </row>
    <row r="46" spans="1:8" ht="30" x14ac:dyDescent="0.25">
      <c r="A46" s="1334"/>
      <c r="B46" s="250" t="s">
        <v>883</v>
      </c>
      <c r="C46" s="250"/>
      <c r="D46" s="250"/>
      <c r="E46" s="306">
        <v>1.1499999999999999</v>
      </c>
      <c r="F46" s="250"/>
      <c r="G46" s="250"/>
      <c r="H46" s="250"/>
    </row>
    <row r="47" spans="1:8" x14ac:dyDescent="0.25">
      <c r="A47" s="1334" t="s">
        <v>886</v>
      </c>
      <c r="B47" s="250" t="s">
        <v>882</v>
      </c>
      <c r="C47" s="250"/>
      <c r="D47" s="250"/>
      <c r="E47" s="306">
        <v>2.5</v>
      </c>
      <c r="F47" s="250"/>
      <c r="G47" s="250"/>
      <c r="H47" s="250"/>
    </row>
    <row r="48" spans="1:8" ht="30" x14ac:dyDescent="0.25">
      <c r="A48" s="1334"/>
      <c r="B48" s="250" t="s">
        <v>883</v>
      </c>
      <c r="C48" s="250"/>
      <c r="D48" s="250"/>
      <c r="E48" s="306">
        <v>2.5</v>
      </c>
      <c r="F48" s="250"/>
      <c r="G48" s="250"/>
      <c r="H48" s="250"/>
    </row>
    <row r="49" spans="1:8" x14ac:dyDescent="0.25">
      <c r="A49" s="1334" t="s">
        <v>887</v>
      </c>
      <c r="B49" s="250" t="s">
        <v>882</v>
      </c>
      <c r="C49" s="250"/>
      <c r="D49" s="250"/>
      <c r="E49" s="307" t="s">
        <v>888</v>
      </c>
      <c r="F49" s="250"/>
      <c r="G49" s="250"/>
      <c r="H49" s="250"/>
    </row>
    <row r="50" spans="1:8" ht="30" x14ac:dyDescent="0.25">
      <c r="A50" s="1334"/>
      <c r="B50" s="250" t="s">
        <v>883</v>
      </c>
      <c r="C50" s="250"/>
      <c r="D50" s="250"/>
      <c r="E50" s="307" t="s">
        <v>888</v>
      </c>
      <c r="F50" s="250"/>
      <c r="G50" s="250"/>
      <c r="H50" s="250"/>
    </row>
    <row r="51" spans="1:8" x14ac:dyDescent="0.25">
      <c r="A51" s="1334" t="s">
        <v>0</v>
      </c>
      <c r="B51" s="250" t="s">
        <v>882</v>
      </c>
      <c r="C51" s="250"/>
      <c r="D51" s="250"/>
      <c r="E51" s="250"/>
      <c r="F51" s="250"/>
      <c r="G51" s="250"/>
      <c r="H51" s="250"/>
    </row>
    <row r="52" spans="1:8" ht="30" x14ac:dyDescent="0.25">
      <c r="A52" s="1334"/>
      <c r="B52" s="250" t="s">
        <v>883</v>
      </c>
      <c r="C52" s="250"/>
      <c r="D52" s="250"/>
      <c r="E52" s="250"/>
      <c r="F52" s="250"/>
      <c r="G52" s="250"/>
      <c r="H52" s="250"/>
    </row>
    <row r="54" spans="1:8" x14ac:dyDescent="0.25">
      <c r="A54" s="32" t="s">
        <v>893</v>
      </c>
    </row>
    <row r="55" spans="1:8" x14ac:dyDescent="0.25">
      <c r="A55" s="1335" t="s">
        <v>894</v>
      </c>
      <c r="B55" s="1335"/>
      <c r="C55" s="1335"/>
      <c r="D55" s="1335"/>
      <c r="E55" s="1335"/>
      <c r="F55" s="1335"/>
      <c r="G55" s="1335"/>
      <c r="H55" s="1335"/>
    </row>
    <row r="56" spans="1:8" ht="30" x14ac:dyDescent="0.25">
      <c r="A56" s="1332" t="s">
        <v>877</v>
      </c>
      <c r="B56" s="1332" t="s">
        <v>878</v>
      </c>
      <c r="C56" s="308" t="s">
        <v>879</v>
      </c>
      <c r="D56" s="308" t="s">
        <v>880</v>
      </c>
      <c r="E56" s="309" t="s">
        <v>755</v>
      </c>
      <c r="F56" s="309" t="s">
        <v>101</v>
      </c>
      <c r="G56" s="309" t="s">
        <v>854</v>
      </c>
      <c r="H56" s="309" t="s">
        <v>775</v>
      </c>
    </row>
    <row r="57" spans="1:8" x14ac:dyDescent="0.25">
      <c r="A57" s="1333"/>
      <c r="B57" s="1333"/>
      <c r="C57" s="307" t="s">
        <v>103</v>
      </c>
      <c r="D57" s="307" t="s">
        <v>102</v>
      </c>
      <c r="E57" s="307" t="s">
        <v>97</v>
      </c>
      <c r="F57" s="307" t="s">
        <v>96</v>
      </c>
      <c r="G57" s="307" t="s">
        <v>95</v>
      </c>
      <c r="H57" s="307" t="s">
        <v>111</v>
      </c>
    </row>
    <row r="58" spans="1:8" x14ac:dyDescent="0.25">
      <c r="A58" s="1334" t="s">
        <v>881</v>
      </c>
      <c r="B58" s="250" t="s">
        <v>882</v>
      </c>
      <c r="C58" s="250"/>
      <c r="D58" s="250"/>
      <c r="E58" s="306">
        <v>0.5</v>
      </c>
      <c r="F58" s="250"/>
      <c r="G58" s="250"/>
      <c r="H58" s="250"/>
    </row>
    <row r="59" spans="1:8" ht="30" x14ac:dyDescent="0.25">
      <c r="A59" s="1334"/>
      <c r="B59" s="250" t="s">
        <v>883</v>
      </c>
      <c r="C59" s="250"/>
      <c r="D59" s="250"/>
      <c r="E59" s="306">
        <v>0.7</v>
      </c>
      <c r="F59" s="250"/>
      <c r="G59" s="250"/>
      <c r="H59" s="250"/>
    </row>
    <row r="60" spans="1:8" x14ac:dyDescent="0.25">
      <c r="A60" s="1334" t="s">
        <v>884</v>
      </c>
      <c r="B60" s="250" t="s">
        <v>882</v>
      </c>
      <c r="C60" s="250"/>
      <c r="D60" s="250"/>
      <c r="E60" s="306">
        <v>0.7</v>
      </c>
      <c r="F60" s="250"/>
      <c r="G60" s="250"/>
      <c r="H60" s="250"/>
    </row>
    <row r="61" spans="1:8" ht="30" x14ac:dyDescent="0.25">
      <c r="A61" s="1334"/>
      <c r="B61" s="250" t="s">
        <v>883</v>
      </c>
      <c r="C61" s="250"/>
      <c r="D61" s="250"/>
      <c r="E61" s="306">
        <v>0.9</v>
      </c>
      <c r="F61" s="250"/>
      <c r="G61" s="250"/>
      <c r="H61" s="250"/>
    </row>
    <row r="62" spans="1:8" x14ac:dyDescent="0.25">
      <c r="A62" s="1334" t="s">
        <v>885</v>
      </c>
      <c r="B62" s="250" t="s">
        <v>882</v>
      </c>
      <c r="C62" s="250"/>
      <c r="D62" s="250"/>
      <c r="E62" s="306">
        <v>1.1499999999999999</v>
      </c>
      <c r="F62" s="250"/>
      <c r="G62" s="250"/>
      <c r="H62" s="250"/>
    </row>
    <row r="63" spans="1:8" ht="30" x14ac:dyDescent="0.25">
      <c r="A63" s="1334"/>
      <c r="B63" s="250" t="s">
        <v>883</v>
      </c>
      <c r="C63" s="250"/>
      <c r="D63" s="250"/>
      <c r="E63" s="306">
        <v>1.1499999999999999</v>
      </c>
      <c r="F63" s="250"/>
      <c r="G63" s="250"/>
      <c r="H63" s="250"/>
    </row>
    <row r="64" spans="1:8" x14ac:dyDescent="0.25">
      <c r="A64" s="1334" t="s">
        <v>886</v>
      </c>
      <c r="B64" s="250" t="s">
        <v>882</v>
      </c>
      <c r="C64" s="250"/>
      <c r="D64" s="250"/>
      <c r="E64" s="306">
        <v>2.5</v>
      </c>
      <c r="F64" s="250"/>
      <c r="G64" s="250"/>
      <c r="H64" s="250"/>
    </row>
    <row r="65" spans="1:8" ht="30" x14ac:dyDescent="0.25">
      <c r="A65" s="1334"/>
      <c r="B65" s="250" t="s">
        <v>883</v>
      </c>
      <c r="C65" s="250"/>
      <c r="D65" s="250"/>
      <c r="E65" s="306">
        <v>2.5</v>
      </c>
      <c r="F65" s="250"/>
      <c r="G65" s="250"/>
      <c r="H65" s="250"/>
    </row>
    <row r="66" spans="1:8" x14ac:dyDescent="0.25">
      <c r="A66" s="1334" t="s">
        <v>887</v>
      </c>
      <c r="B66" s="250" t="s">
        <v>882</v>
      </c>
      <c r="C66" s="250"/>
      <c r="D66" s="250"/>
      <c r="E66" s="307" t="s">
        <v>888</v>
      </c>
      <c r="F66" s="250"/>
      <c r="G66" s="250"/>
      <c r="H66" s="250"/>
    </row>
    <row r="67" spans="1:8" ht="30" x14ac:dyDescent="0.25">
      <c r="A67" s="1334"/>
      <c r="B67" s="250" t="s">
        <v>883</v>
      </c>
      <c r="C67" s="250"/>
      <c r="D67" s="250"/>
      <c r="E67" s="307" t="s">
        <v>888</v>
      </c>
      <c r="F67" s="250"/>
      <c r="G67" s="250"/>
      <c r="H67" s="250"/>
    </row>
    <row r="68" spans="1:8" x14ac:dyDescent="0.25">
      <c r="A68" s="1334" t="s">
        <v>0</v>
      </c>
      <c r="B68" s="250" t="s">
        <v>882</v>
      </c>
      <c r="C68" s="250"/>
      <c r="D68" s="250"/>
      <c r="E68" s="250"/>
      <c r="F68" s="250"/>
      <c r="G68" s="250"/>
      <c r="H68" s="250"/>
    </row>
    <row r="69" spans="1:8" ht="30" x14ac:dyDescent="0.25">
      <c r="A69" s="1334"/>
      <c r="B69" s="250" t="s">
        <v>883</v>
      </c>
      <c r="C69" s="250"/>
      <c r="D69" s="250"/>
      <c r="E69" s="250"/>
      <c r="F69" s="250"/>
      <c r="G69" s="250"/>
      <c r="H69" s="250"/>
    </row>
    <row r="71" spans="1:8" x14ac:dyDescent="0.25">
      <c r="A71" s="32" t="s">
        <v>895</v>
      </c>
    </row>
    <row r="72" spans="1:8" x14ac:dyDescent="0.25">
      <c r="A72" s="1331" t="s">
        <v>896</v>
      </c>
      <c r="B72" s="1331"/>
      <c r="C72" s="1331"/>
      <c r="D72" s="1331"/>
      <c r="E72" s="1331"/>
      <c r="F72" s="1331"/>
      <c r="G72" s="1331"/>
    </row>
    <row r="73" spans="1:8" ht="30" x14ac:dyDescent="0.25">
      <c r="A73" s="1332" t="s">
        <v>897</v>
      </c>
      <c r="B73" s="6" t="s">
        <v>879</v>
      </c>
      <c r="C73" s="6" t="s">
        <v>880</v>
      </c>
      <c r="D73" s="239" t="s">
        <v>755</v>
      </c>
      <c r="E73" s="239" t="s">
        <v>101</v>
      </c>
      <c r="F73" s="239" t="s">
        <v>854</v>
      </c>
      <c r="G73" s="239" t="s">
        <v>775</v>
      </c>
    </row>
    <row r="74" spans="1:8" x14ac:dyDescent="0.25">
      <c r="A74" s="1333"/>
      <c r="B74" s="307" t="s">
        <v>103</v>
      </c>
      <c r="C74" s="307" t="s">
        <v>102</v>
      </c>
      <c r="D74" s="307" t="s">
        <v>97</v>
      </c>
      <c r="E74" s="307" t="s">
        <v>96</v>
      </c>
      <c r="F74" s="307" t="s">
        <v>95</v>
      </c>
      <c r="G74" s="307" t="s">
        <v>111</v>
      </c>
    </row>
    <row r="75" spans="1:8" ht="30" x14ac:dyDescent="0.25">
      <c r="A75" s="250" t="s">
        <v>898</v>
      </c>
      <c r="B75" s="250"/>
      <c r="C75" s="250"/>
      <c r="D75" s="306">
        <v>1.9</v>
      </c>
      <c r="E75" s="250"/>
      <c r="F75" s="250"/>
      <c r="G75" s="250"/>
    </row>
    <row r="76" spans="1:8" ht="30" x14ac:dyDescent="0.25">
      <c r="A76" s="250" t="s">
        <v>899</v>
      </c>
      <c r="B76" s="250"/>
      <c r="C76" s="250"/>
      <c r="D76" s="306">
        <v>2.9</v>
      </c>
      <c r="E76" s="250"/>
      <c r="F76" s="250"/>
      <c r="G76" s="250"/>
    </row>
    <row r="77" spans="1:8" ht="45" x14ac:dyDescent="0.25">
      <c r="A77" s="250" t="s">
        <v>900</v>
      </c>
      <c r="B77" s="250"/>
      <c r="C77" s="250"/>
      <c r="D77" s="306">
        <v>3.7</v>
      </c>
      <c r="E77" s="250"/>
      <c r="F77" s="250"/>
      <c r="G77" s="250"/>
    </row>
    <row r="78" spans="1:8" x14ac:dyDescent="0.25">
      <c r="A78" s="250" t="s">
        <v>0</v>
      </c>
      <c r="B78" s="250"/>
      <c r="C78" s="250"/>
      <c r="D78" s="250"/>
      <c r="E78" s="250"/>
      <c r="F78" s="250"/>
      <c r="G78" s="250"/>
    </row>
  </sheetData>
  <mergeCells count="38">
    <mergeCell ref="A11:A12"/>
    <mergeCell ref="A4:H4"/>
    <mergeCell ref="A5:A6"/>
    <mergeCell ref="B5:B6"/>
    <mergeCell ref="A7:A8"/>
    <mergeCell ref="A9:A10"/>
    <mergeCell ref="A13:A14"/>
    <mergeCell ref="A15:A16"/>
    <mergeCell ref="A17:A18"/>
    <mergeCell ref="A21:H21"/>
    <mergeCell ref="A22:A23"/>
    <mergeCell ref="B22:B23"/>
    <mergeCell ref="A45:A46"/>
    <mergeCell ref="A24:A25"/>
    <mergeCell ref="A26:A27"/>
    <mergeCell ref="A28:A29"/>
    <mergeCell ref="A30:A31"/>
    <mergeCell ref="A32:A33"/>
    <mergeCell ref="A34:A35"/>
    <mergeCell ref="A38:H38"/>
    <mergeCell ref="A39:A40"/>
    <mergeCell ref="B39:B40"/>
    <mergeCell ref="A41:A42"/>
    <mergeCell ref="A43:A44"/>
    <mergeCell ref="A47:A48"/>
    <mergeCell ref="A49:A50"/>
    <mergeCell ref="A51:A52"/>
    <mergeCell ref="A55:H55"/>
    <mergeCell ref="A56:A57"/>
    <mergeCell ref="B56:B57"/>
    <mergeCell ref="A72:G72"/>
    <mergeCell ref="A73:A74"/>
    <mergeCell ref="A58:A59"/>
    <mergeCell ref="A60:A61"/>
    <mergeCell ref="A62:A63"/>
    <mergeCell ref="A64:A65"/>
    <mergeCell ref="A66:A67"/>
    <mergeCell ref="A68:A69"/>
  </mergeCells>
  <hyperlinks>
    <hyperlink ref="A1" location="Indhold!B87" display="Skema EU CR10 – Specialiseret långivning og aktieeksponeringer i henhold til den forenklede risikovægtningsmetode" xr:uid="{26B0CB37-B826-4642-92EF-B9AEEE55732D}"/>
  </hyperlinks>
  <pageMargins left="0.70866141732283472" right="0.70866141732283472" top="0.74803149606299213" bottom="0.74803149606299213" header="0.31496062992125984" footer="0.31496062992125984"/>
  <pageSetup paperSize="9" scale="92" fitToHeight="0" orientation="landscape" r:id="rId1"/>
  <headerFooter>
    <oddHeader>&amp;CDA
Bilag XXIII</oddHeader>
    <oddFooter>&amp;C&amp;P</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66000-7068-4456-83EB-88CEB55FB1B3}">
  <sheetPr>
    <tabColor rgb="FFFF0000"/>
  </sheetPr>
  <dimension ref="A1:T28"/>
  <sheetViews>
    <sheetView showGridLines="0" zoomScaleNormal="100" workbookViewId="0"/>
  </sheetViews>
  <sheetFormatPr defaultColWidth="9.140625" defaultRowHeight="15" x14ac:dyDescent="0.25"/>
  <cols>
    <col min="2" max="2" width="20.5703125" customWidth="1"/>
    <col min="3" max="3" width="29.28515625" customWidth="1"/>
    <col min="4" max="8" width="13.28515625" customWidth="1"/>
    <col min="9" max="10" width="14.28515625" customWidth="1"/>
  </cols>
  <sheetData>
    <row r="1" spans="1:13" x14ac:dyDescent="0.25">
      <c r="A1" s="866" t="s">
        <v>928</v>
      </c>
    </row>
    <row r="2" spans="1:13" ht="15.75" x14ac:dyDescent="0.25">
      <c r="A2" s="310" t="s">
        <v>902</v>
      </c>
      <c r="E2" s="324"/>
    </row>
    <row r="3" spans="1:13" x14ac:dyDescent="0.25">
      <c r="B3" s="64"/>
      <c r="C3" s="311"/>
      <c r="D3" s="325"/>
      <c r="E3" s="311"/>
      <c r="F3" s="311"/>
      <c r="G3" s="311"/>
      <c r="H3" s="311"/>
      <c r="I3" s="311"/>
      <c r="J3" s="311"/>
      <c r="M3" s="125"/>
    </row>
    <row r="4" spans="1:13" ht="20.100000000000001" customHeight="1" x14ac:dyDescent="0.25">
      <c r="B4" s="239"/>
      <c r="C4" s="31"/>
      <c r="D4" s="10" t="s">
        <v>103</v>
      </c>
      <c r="E4" s="10" t="s">
        <v>102</v>
      </c>
      <c r="F4" s="10" t="s">
        <v>97</v>
      </c>
      <c r="G4" s="10" t="s">
        <v>96</v>
      </c>
      <c r="H4" s="10" t="s">
        <v>95</v>
      </c>
      <c r="I4" s="10" t="s">
        <v>111</v>
      </c>
      <c r="J4" s="13" t="s">
        <v>112</v>
      </c>
    </row>
    <row r="5" spans="1:13" ht="20.100000000000001" customHeight="1" x14ac:dyDescent="0.25">
      <c r="B5" s="1341"/>
      <c r="C5" s="1334" t="s">
        <v>929</v>
      </c>
      <c r="D5" s="987" t="s">
        <v>1275</v>
      </c>
      <c r="E5" s="1338" t="s">
        <v>1276</v>
      </c>
      <c r="F5" s="1338" t="s">
        <v>770</v>
      </c>
      <c r="G5" s="1338" t="s">
        <v>1277</v>
      </c>
      <c r="H5" s="1338" t="s">
        <v>1278</v>
      </c>
      <c r="I5" s="1338" t="s">
        <v>90</v>
      </c>
      <c r="J5" s="1338" t="s">
        <v>774</v>
      </c>
    </row>
    <row r="6" spans="1:13" ht="81" customHeight="1" x14ac:dyDescent="0.25">
      <c r="A6" s="326"/>
      <c r="B6" s="1341"/>
      <c r="C6" s="1334"/>
      <c r="D6" s="989"/>
      <c r="E6" s="1339"/>
      <c r="F6" s="1339"/>
      <c r="G6" s="1339"/>
      <c r="H6" s="1339"/>
      <c r="I6" s="1339"/>
      <c r="J6" s="1339"/>
    </row>
    <row r="7" spans="1:13" ht="34.5" customHeight="1" x14ac:dyDescent="0.25">
      <c r="A7" s="132" t="s">
        <v>930</v>
      </c>
      <c r="B7" s="58" t="s">
        <v>777</v>
      </c>
      <c r="C7" s="31"/>
      <c r="D7" s="58"/>
      <c r="E7" s="58"/>
      <c r="F7" s="58"/>
      <c r="G7" s="58"/>
      <c r="H7" s="58"/>
      <c r="I7" s="58"/>
      <c r="J7" s="58"/>
    </row>
    <row r="8" spans="1:13" ht="20.100000000000001" customHeight="1" x14ac:dyDescent="0.25">
      <c r="A8" s="327">
        <v>1</v>
      </c>
      <c r="B8" s="58"/>
      <c r="C8" s="31" t="s">
        <v>778</v>
      </c>
      <c r="D8" s="58"/>
      <c r="E8" s="58"/>
      <c r="F8" s="58"/>
      <c r="G8" s="58"/>
      <c r="H8" s="58"/>
      <c r="I8" s="58"/>
      <c r="J8" s="58"/>
    </row>
    <row r="9" spans="1:13" ht="20.100000000000001" customHeight="1" x14ac:dyDescent="0.25">
      <c r="A9" s="327">
        <v>2</v>
      </c>
      <c r="B9" s="58"/>
      <c r="C9" s="31" t="s">
        <v>781</v>
      </c>
      <c r="D9" s="58"/>
      <c r="E9" s="58"/>
      <c r="F9" s="58"/>
      <c r="G9" s="58"/>
      <c r="H9" s="58"/>
      <c r="I9" s="58"/>
      <c r="J9" s="58"/>
    </row>
    <row r="10" spans="1:13" ht="20.100000000000001" customHeight="1" x14ac:dyDescent="0.25">
      <c r="A10" s="327">
        <v>3</v>
      </c>
      <c r="B10" s="58"/>
      <c r="C10" s="31" t="s">
        <v>782</v>
      </c>
      <c r="D10" s="58"/>
      <c r="E10" s="58"/>
      <c r="F10" s="58"/>
      <c r="G10" s="58"/>
      <c r="H10" s="58"/>
      <c r="I10" s="58"/>
      <c r="J10" s="58"/>
    </row>
    <row r="11" spans="1:13" ht="20.100000000000001" customHeight="1" x14ac:dyDescent="0.25">
      <c r="A11" s="327">
        <v>4</v>
      </c>
      <c r="B11" s="58"/>
      <c r="C11" s="31" t="s">
        <v>783</v>
      </c>
      <c r="D11" s="58"/>
      <c r="E11" s="58"/>
      <c r="F11" s="58"/>
      <c r="G11" s="58"/>
      <c r="H11" s="58"/>
      <c r="I11" s="58"/>
      <c r="J11" s="58"/>
    </row>
    <row r="12" spans="1:13" ht="20.100000000000001" customHeight="1" x14ac:dyDescent="0.25">
      <c r="A12" s="327">
        <v>5</v>
      </c>
      <c r="B12" s="58"/>
      <c r="C12" s="31" t="s">
        <v>784</v>
      </c>
      <c r="D12" s="58"/>
      <c r="E12" s="58"/>
      <c r="F12" s="58"/>
      <c r="G12" s="58"/>
      <c r="H12" s="58"/>
      <c r="I12" s="58"/>
      <c r="J12" s="58"/>
    </row>
    <row r="13" spans="1:13" ht="20.100000000000001" customHeight="1" x14ac:dyDescent="0.25">
      <c r="A13" s="327">
        <v>6</v>
      </c>
      <c r="B13" s="58"/>
      <c r="C13" s="31" t="s">
        <v>787</v>
      </c>
      <c r="D13" s="58"/>
      <c r="E13" s="58"/>
      <c r="F13" s="58"/>
      <c r="G13" s="58"/>
      <c r="H13" s="58"/>
      <c r="I13" s="58"/>
      <c r="J13" s="58"/>
    </row>
    <row r="14" spans="1:13" ht="20.100000000000001" customHeight="1" x14ac:dyDescent="0.25">
      <c r="A14" s="327">
        <v>7</v>
      </c>
      <c r="B14" s="58"/>
      <c r="C14" s="31" t="s">
        <v>790</v>
      </c>
      <c r="D14" s="58"/>
      <c r="E14" s="58"/>
      <c r="F14" s="58"/>
      <c r="G14" s="58"/>
      <c r="H14" s="58"/>
      <c r="I14" s="58"/>
      <c r="J14" s="58"/>
    </row>
    <row r="15" spans="1:13" ht="20.100000000000001" customHeight="1" x14ac:dyDescent="0.25">
      <c r="A15" s="327">
        <v>8</v>
      </c>
      <c r="B15" s="58"/>
      <c r="C15" s="31" t="s">
        <v>794</v>
      </c>
      <c r="D15" s="58"/>
      <c r="E15" s="58"/>
      <c r="F15" s="58"/>
      <c r="G15" s="58"/>
      <c r="H15" s="58"/>
      <c r="I15" s="58"/>
      <c r="J15" s="58"/>
    </row>
    <row r="16" spans="1:13" ht="20.100000000000001" customHeight="1" x14ac:dyDescent="0.25">
      <c r="A16" s="327" t="s">
        <v>931</v>
      </c>
      <c r="B16" s="58"/>
      <c r="C16" s="10" t="s">
        <v>932</v>
      </c>
      <c r="D16" s="58"/>
      <c r="E16" s="58"/>
      <c r="F16" s="58"/>
      <c r="G16" s="58"/>
      <c r="H16" s="58"/>
      <c r="I16" s="58"/>
      <c r="J16" s="58"/>
    </row>
    <row r="17" spans="1:20" x14ac:dyDescent="0.25">
      <c r="A17" s="328" t="s">
        <v>933</v>
      </c>
      <c r="B17" s="1340" t="s">
        <v>934</v>
      </c>
      <c r="C17" s="1340"/>
      <c r="D17" s="58"/>
      <c r="E17" s="58"/>
      <c r="F17" s="58"/>
      <c r="G17" s="58"/>
      <c r="H17" s="58"/>
      <c r="I17" s="58"/>
      <c r="J17" s="58"/>
    </row>
    <row r="18" spans="1:20" x14ac:dyDescent="0.25">
      <c r="B18" s="90"/>
    </row>
    <row r="27" spans="1:20" ht="23.25" x14ac:dyDescent="0.35">
      <c r="O27" s="318"/>
      <c r="P27" s="329"/>
      <c r="Q27" s="329"/>
      <c r="R27" s="329"/>
      <c r="S27" s="329"/>
      <c r="T27" s="329"/>
    </row>
    <row r="28" spans="1:20" x14ac:dyDescent="0.25">
      <c r="O28" s="125"/>
    </row>
  </sheetData>
  <mergeCells count="10">
    <mergeCell ref="H5:H6"/>
    <mergeCell ref="I5:I6"/>
    <mergeCell ref="J5:J6"/>
    <mergeCell ref="B17:C17"/>
    <mergeCell ref="B5:B6"/>
    <mergeCell ref="C5:C6"/>
    <mergeCell ref="D5:D6"/>
    <mergeCell ref="E5:E6"/>
    <mergeCell ref="F5:F6"/>
    <mergeCell ref="G5:G6"/>
  </mergeCells>
  <hyperlinks>
    <hyperlink ref="A1" location="Indhold!B88" display="Skema EU CCR4 — IRB-metoden — modpartskreditrisikoeksponeringer efter eksponeringsklasse og PD-skala" xr:uid="{DF268006-509E-4518-8A62-1B495EB0EFA5}"/>
  </hyperlinks>
  <pageMargins left="0.70866141732283472" right="0.70866141732283472" top="0.74803149606299213" bottom="0.74803149606299213" header="0.31496062992125984" footer="0.31496062992125984"/>
  <pageSetup paperSize="9" scale="95" fitToWidth="0" fitToHeight="0" orientation="landscape" r:id="rId1"/>
  <headerFooter>
    <oddHeader>&amp;CDA
Bilag XXV</oddHeader>
    <oddFooter>&amp;C&amp;P</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848B1-FE79-4B65-AE4E-5068966D1602}">
  <sheetPr>
    <tabColor rgb="FFFF0000"/>
    <pageSetUpPr fitToPage="1"/>
  </sheetPr>
  <dimension ref="A1:C15"/>
  <sheetViews>
    <sheetView showGridLines="0" zoomScaleNormal="100" workbookViewId="0"/>
  </sheetViews>
  <sheetFormatPr defaultColWidth="9.140625" defaultRowHeight="15" x14ac:dyDescent="0.25"/>
  <cols>
    <col min="1" max="1" width="7.7109375" customWidth="1"/>
    <col min="2" max="2" width="55" customWidth="1"/>
    <col min="3" max="3" width="14.42578125" customWidth="1"/>
  </cols>
  <sheetData>
    <row r="1" spans="1:3" x14ac:dyDescent="0.25">
      <c r="A1" s="866" t="s">
        <v>964</v>
      </c>
    </row>
    <row r="2" spans="1:3" ht="15.75" x14ac:dyDescent="0.25">
      <c r="A2" s="310" t="s">
        <v>902</v>
      </c>
    </row>
    <row r="3" spans="1:3" x14ac:dyDescent="0.25">
      <c r="A3" s="262"/>
      <c r="B3" s="262"/>
      <c r="C3" s="330"/>
    </row>
    <row r="4" spans="1:3" ht="20.100000000000001" customHeight="1" x14ac:dyDescent="0.25">
      <c r="A4" s="331"/>
      <c r="B4" s="331"/>
      <c r="C4" s="314" t="s">
        <v>103</v>
      </c>
    </row>
    <row r="5" spans="1:3" ht="25.5" x14ac:dyDescent="0.25">
      <c r="A5" s="331"/>
      <c r="B5" s="332"/>
      <c r="C5" s="314" t="s">
        <v>90</v>
      </c>
    </row>
    <row r="6" spans="1:3" ht="25.5" x14ac:dyDescent="0.25">
      <c r="A6" s="333">
        <v>1</v>
      </c>
      <c r="B6" s="320" t="s">
        <v>965</v>
      </c>
      <c r="C6" s="322">
        <v>0</v>
      </c>
    </row>
    <row r="7" spans="1:3" ht="20.100000000000001" customHeight="1" x14ac:dyDescent="0.25">
      <c r="A7" s="314">
        <v>2</v>
      </c>
      <c r="B7" s="316" t="s">
        <v>966</v>
      </c>
      <c r="C7" s="322">
        <v>0</v>
      </c>
    </row>
    <row r="8" spans="1:3" ht="20.100000000000001" customHeight="1" x14ac:dyDescent="0.25">
      <c r="A8" s="314">
        <v>3</v>
      </c>
      <c r="B8" s="316" t="s">
        <v>967</v>
      </c>
      <c r="C8" s="322">
        <v>0</v>
      </c>
    </row>
    <row r="9" spans="1:3" ht="20.100000000000001" customHeight="1" x14ac:dyDescent="0.25">
      <c r="A9" s="314">
        <v>4</v>
      </c>
      <c r="B9" s="316" t="s">
        <v>968</v>
      </c>
      <c r="C9" s="322">
        <v>0</v>
      </c>
    </row>
    <row r="10" spans="1:3" ht="20.100000000000001" customHeight="1" x14ac:dyDescent="0.25">
      <c r="A10" s="314">
        <v>5</v>
      </c>
      <c r="B10" s="316" t="s">
        <v>969</v>
      </c>
      <c r="C10" s="322">
        <v>0</v>
      </c>
    </row>
    <row r="11" spans="1:3" ht="20.100000000000001" customHeight="1" x14ac:dyDescent="0.25">
      <c r="A11" s="314">
        <v>6</v>
      </c>
      <c r="B11" s="316" t="s">
        <v>970</v>
      </c>
      <c r="C11" s="322">
        <v>0</v>
      </c>
    </row>
    <row r="12" spans="1:3" ht="20.100000000000001" customHeight="1" x14ac:dyDescent="0.25">
      <c r="A12" s="314">
        <v>7</v>
      </c>
      <c r="B12" s="316" t="s">
        <v>971</v>
      </c>
      <c r="C12" s="322">
        <v>0</v>
      </c>
    </row>
    <row r="13" spans="1:3" ht="20.100000000000001" customHeight="1" x14ac:dyDescent="0.25">
      <c r="A13" s="314">
        <v>8</v>
      </c>
      <c r="B13" s="316" t="s">
        <v>972</v>
      </c>
      <c r="C13" s="322">
        <v>0</v>
      </c>
    </row>
    <row r="14" spans="1:3" ht="25.5" x14ac:dyDescent="0.25">
      <c r="A14" s="333">
        <v>9</v>
      </c>
      <c r="B14" s="320" t="s">
        <v>973</v>
      </c>
      <c r="C14" s="322">
        <v>0</v>
      </c>
    </row>
    <row r="15" spans="1:3" x14ac:dyDescent="0.25">
      <c r="A15" s="1"/>
      <c r="B15" s="1"/>
      <c r="C15" s="1"/>
    </row>
  </sheetData>
  <hyperlinks>
    <hyperlink ref="A1" location="Indhold!B89" display="Skema EU CCR7 - RWEA-flowtabeller for markedsrisikoeksponeringer i henhold til IMM" xr:uid="{B0822707-22CF-4460-AAE8-3B8B90DC9F55}"/>
  </hyperlinks>
  <pageMargins left="0.70866141732283472" right="0.70866141732283472" top="0.74803149606299213" bottom="0.74803149606299213" header="0.31496062992125984" footer="0.31496062992125984"/>
  <pageSetup paperSize="9" orientation="landscape" r:id="rId1"/>
  <headerFooter>
    <oddHeader>&amp;CDA
Bilag XXV</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18137-39EB-4EBB-9B09-8DF2059EE5FD}">
  <sheetPr>
    <pageSetUpPr fitToPage="1"/>
  </sheetPr>
  <dimension ref="B2:H19"/>
  <sheetViews>
    <sheetView showGridLines="0" zoomScaleNormal="100" zoomScalePageLayoutView="90" workbookViewId="0">
      <selection activeCell="F1" sqref="F1"/>
    </sheetView>
  </sheetViews>
  <sheetFormatPr defaultColWidth="9.140625" defaultRowHeight="15" x14ac:dyDescent="0.25"/>
  <cols>
    <col min="1" max="1" width="7.85546875" customWidth="1"/>
    <col min="2" max="2" width="8.5703125" style="39" customWidth="1"/>
    <col min="3" max="3" width="96.85546875" customWidth="1"/>
    <col min="4" max="4" width="14.7109375" customWidth="1"/>
    <col min="5" max="5" width="18.28515625" customWidth="1"/>
    <col min="6" max="6" width="22.42578125" customWidth="1"/>
    <col min="7" max="7" width="26.28515625" customWidth="1"/>
    <col min="8" max="8" width="20.140625" customWidth="1"/>
    <col min="9" max="9" width="25.42578125" customWidth="1"/>
  </cols>
  <sheetData>
    <row r="2" spans="2:8" s="51" customFormat="1" ht="18.75" x14ac:dyDescent="0.3">
      <c r="B2" s="416" t="s">
        <v>145</v>
      </c>
      <c r="E2"/>
    </row>
    <row r="5" spans="2:8" x14ac:dyDescent="0.25">
      <c r="B5" s="966" t="s">
        <v>1423</v>
      </c>
      <c r="C5" s="967"/>
      <c r="D5" s="458" t="s">
        <v>103</v>
      </c>
      <c r="E5" s="458" t="s">
        <v>102</v>
      </c>
      <c r="F5" s="458" t="s">
        <v>97</v>
      </c>
      <c r="G5" s="458" t="s">
        <v>96</v>
      </c>
      <c r="H5" s="458" t="s">
        <v>95</v>
      </c>
    </row>
    <row r="6" spans="2:8" x14ac:dyDescent="0.25">
      <c r="B6" s="966"/>
      <c r="C6" s="967"/>
      <c r="D6" s="963" t="s">
        <v>0</v>
      </c>
      <c r="E6" s="965" t="s">
        <v>146</v>
      </c>
      <c r="F6" s="965"/>
      <c r="G6" s="965"/>
      <c r="H6" s="965"/>
    </row>
    <row r="7" spans="2:8" ht="30" x14ac:dyDescent="0.25">
      <c r="B7" s="968"/>
      <c r="C7" s="969"/>
      <c r="D7" s="964"/>
      <c r="E7" s="458" t="s">
        <v>147</v>
      </c>
      <c r="F7" s="458" t="s">
        <v>148</v>
      </c>
      <c r="G7" s="458" t="s">
        <v>149</v>
      </c>
      <c r="H7" s="458" t="s">
        <v>150</v>
      </c>
    </row>
    <row r="8" spans="2:8" x14ac:dyDescent="0.25">
      <c r="B8" s="53">
        <v>1</v>
      </c>
      <c r="C8" s="54" t="s">
        <v>151</v>
      </c>
      <c r="D8" s="487">
        <f>+'3'!D23</f>
        <v>9803778</v>
      </c>
      <c r="E8" s="487">
        <f>+'3'!F23</f>
        <v>5377130.5480000004</v>
      </c>
      <c r="F8" s="488">
        <v>0</v>
      </c>
      <c r="G8" s="487">
        <f>+'3'!G23</f>
        <v>0</v>
      </c>
      <c r="H8" s="487">
        <f>+'3'!I23</f>
        <v>3443134</v>
      </c>
    </row>
    <row r="9" spans="2:8" x14ac:dyDescent="0.25">
      <c r="B9" s="53">
        <v>2</v>
      </c>
      <c r="C9" s="54" t="s">
        <v>152</v>
      </c>
      <c r="D9" s="489">
        <v>0</v>
      </c>
      <c r="E9" s="489">
        <v>0</v>
      </c>
      <c r="F9" s="490">
        <v>0</v>
      </c>
      <c r="G9" s="489">
        <v>0</v>
      </c>
      <c r="H9" s="489">
        <v>0</v>
      </c>
    </row>
    <row r="10" spans="2:8" x14ac:dyDescent="0.25">
      <c r="B10" s="53">
        <v>3</v>
      </c>
      <c r="C10" s="54" t="s">
        <v>153</v>
      </c>
      <c r="D10" s="489">
        <f>+D8-D9</f>
        <v>9803778</v>
      </c>
      <c r="E10" s="489">
        <f t="shared" ref="E10:H10" si="0">+E8-E9</f>
        <v>5377130.5480000004</v>
      </c>
      <c r="F10" s="489">
        <f t="shared" si="0"/>
        <v>0</v>
      </c>
      <c r="G10" s="489">
        <f t="shared" si="0"/>
        <v>0</v>
      </c>
      <c r="H10" s="489">
        <f t="shared" si="0"/>
        <v>3443134</v>
      </c>
    </row>
    <row r="11" spans="2:8" x14ac:dyDescent="0.25">
      <c r="B11" s="53">
        <v>4</v>
      </c>
      <c r="C11" s="48" t="s">
        <v>154</v>
      </c>
      <c r="D11" s="489">
        <v>1085466</v>
      </c>
      <c r="E11" s="489">
        <f>+D11</f>
        <v>1085466</v>
      </c>
      <c r="F11" s="490"/>
      <c r="G11" s="489"/>
      <c r="H11" s="491"/>
    </row>
    <row r="12" spans="2:8" x14ac:dyDescent="0.25">
      <c r="B12" s="41">
        <v>5</v>
      </c>
      <c r="C12" s="57" t="s">
        <v>155</v>
      </c>
      <c r="D12" s="489"/>
      <c r="E12" s="489"/>
      <c r="F12" s="490"/>
      <c r="G12" s="489"/>
      <c r="H12" s="491"/>
    </row>
    <row r="13" spans="2:8" x14ac:dyDescent="0.25">
      <c r="B13" s="41">
        <v>6</v>
      </c>
      <c r="C13" s="57" t="s">
        <v>156</v>
      </c>
      <c r="D13" s="489"/>
      <c r="E13" s="489"/>
      <c r="F13" s="490"/>
      <c r="G13" s="489"/>
      <c r="H13" s="491"/>
    </row>
    <row r="14" spans="2:8" x14ac:dyDescent="0.25">
      <c r="B14" s="41">
        <v>7</v>
      </c>
      <c r="C14" s="57" t="s">
        <v>157</v>
      </c>
      <c r="D14" s="489"/>
      <c r="E14" s="489"/>
      <c r="F14" s="490"/>
      <c r="G14" s="489"/>
      <c r="H14" s="491"/>
    </row>
    <row r="15" spans="2:8" x14ac:dyDescent="0.25">
      <c r="B15" s="41">
        <v>8</v>
      </c>
      <c r="C15" s="57" t="s">
        <v>158</v>
      </c>
      <c r="D15" s="489"/>
      <c r="E15" s="489"/>
      <c r="F15" s="490"/>
      <c r="G15" s="489"/>
      <c r="H15" s="491"/>
    </row>
    <row r="16" spans="2:8" x14ac:dyDescent="0.25">
      <c r="B16" s="41">
        <v>9</v>
      </c>
      <c r="C16" s="57" t="s">
        <v>159</v>
      </c>
      <c r="D16" s="489"/>
      <c r="E16" s="489"/>
      <c r="F16" s="490"/>
      <c r="G16" s="489"/>
      <c r="H16" s="491"/>
    </row>
    <row r="17" spans="2:8" x14ac:dyDescent="0.25">
      <c r="B17" s="41">
        <v>10</v>
      </c>
      <c r="C17" s="57" t="s">
        <v>160</v>
      </c>
      <c r="D17" s="489"/>
      <c r="E17" s="489"/>
      <c r="F17" s="490"/>
      <c r="G17" s="489"/>
      <c r="H17" s="491"/>
    </row>
    <row r="18" spans="2:8" x14ac:dyDescent="0.25">
      <c r="B18" s="41">
        <v>11</v>
      </c>
      <c r="C18" s="57" t="s">
        <v>161</v>
      </c>
      <c r="D18" s="489"/>
      <c r="E18" s="489"/>
      <c r="F18" s="490"/>
      <c r="G18" s="489"/>
      <c r="H18" s="491"/>
    </row>
    <row r="19" spans="2:8" x14ac:dyDescent="0.25">
      <c r="B19" s="53">
        <v>12</v>
      </c>
      <c r="C19" s="48" t="s">
        <v>162</v>
      </c>
      <c r="D19" s="489">
        <f>SUM(D10:D18)</f>
        <v>10889244</v>
      </c>
      <c r="E19" s="489">
        <f t="shared" ref="E19:H19" si="1">SUM(E10:E18)</f>
        <v>6462596.5480000004</v>
      </c>
      <c r="F19" s="489">
        <f t="shared" si="1"/>
        <v>0</v>
      </c>
      <c r="G19" s="489">
        <f t="shared" si="1"/>
        <v>0</v>
      </c>
      <c r="H19" s="489">
        <f t="shared" si="1"/>
        <v>3443134</v>
      </c>
    </row>
  </sheetData>
  <mergeCells count="3">
    <mergeCell ref="D6:D7"/>
    <mergeCell ref="E6:H6"/>
    <mergeCell ref="B5:C7"/>
  </mergeCells>
  <hyperlinks>
    <hyperlink ref="B2" location="Indhold!B8" display="Skema EU LI2 – Primære kilder til forskelle mellem de tilsynsmæssige eksponeringsbeløb og regnskabsmæssige værdier " xr:uid="{E6C412A9-8D0F-4D7A-B11A-51DC2F19FC81}"/>
  </hyperlinks>
  <pageMargins left="0.70866141732283472" right="0.70866141732283472" top="0.74803149606299213" bottom="0.74803149606299213" header="0.31496062992125984" footer="0.31496062992125984"/>
  <pageSetup paperSize="9" scale="70" orientation="landscape" horizontalDpi="1200" verticalDpi="1200" r:id="rId1"/>
  <headerFooter>
    <oddHeader>&amp;CDA
Bilag V</oddHeader>
    <oddFooter>&amp;C&amp;P</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BDA82-CD43-40DF-B564-C572A3AB5BC2}">
  <sheetPr>
    <tabColor rgb="FFFF0000"/>
    <pageSetUpPr fitToPage="1"/>
  </sheetPr>
  <dimension ref="A1:P19"/>
  <sheetViews>
    <sheetView showGridLines="0" zoomScaleNormal="100" workbookViewId="0"/>
  </sheetViews>
  <sheetFormatPr defaultColWidth="11.42578125" defaultRowHeight="15" x14ac:dyDescent="0.25"/>
  <cols>
    <col min="1" max="1" width="5.5703125" style="39" customWidth="1"/>
    <col min="2" max="2" width="65" customWidth="1"/>
    <col min="3" max="3" width="14.5703125" customWidth="1"/>
    <col min="4" max="4" width="14.7109375" customWidth="1"/>
  </cols>
  <sheetData>
    <row r="1" spans="1:16" ht="26.25" customHeight="1" x14ac:dyDescent="0.3">
      <c r="A1" s="866" t="s">
        <v>1053</v>
      </c>
      <c r="B1" s="416"/>
      <c r="C1" s="416"/>
      <c r="D1" s="416"/>
      <c r="E1" s="416"/>
      <c r="F1" s="416"/>
      <c r="G1" s="416"/>
      <c r="H1" s="416"/>
      <c r="I1" s="416"/>
      <c r="J1" s="416"/>
      <c r="K1" s="416"/>
      <c r="L1" s="416"/>
      <c r="M1" s="416"/>
      <c r="N1" s="416"/>
      <c r="O1" s="416"/>
      <c r="P1" s="416"/>
    </row>
    <row r="3" spans="1:16" x14ac:dyDescent="0.25">
      <c r="A3" s="1342"/>
      <c r="B3" s="1343"/>
      <c r="C3" s="354" t="s">
        <v>103</v>
      </c>
      <c r="D3" s="354" t="s">
        <v>102</v>
      </c>
    </row>
    <row r="4" spans="1:16" ht="38.25" x14ac:dyDescent="0.25">
      <c r="A4" s="1344"/>
      <c r="B4" s="1345"/>
      <c r="C4" s="354" t="s">
        <v>1043</v>
      </c>
      <c r="D4" s="354" t="s">
        <v>1279</v>
      </c>
    </row>
    <row r="5" spans="1:16" ht="21.75" customHeight="1" x14ac:dyDescent="0.25">
      <c r="A5" s="355">
        <v>1</v>
      </c>
      <c r="B5" s="356" t="s">
        <v>1054</v>
      </c>
      <c r="C5" s="357">
        <v>0</v>
      </c>
      <c r="D5" s="357">
        <v>0</v>
      </c>
    </row>
    <row r="6" spans="1:16" ht="27" customHeight="1" x14ac:dyDescent="0.25">
      <c r="A6" s="354" t="s">
        <v>1055</v>
      </c>
      <c r="B6" s="358" t="s">
        <v>1056</v>
      </c>
      <c r="C6" s="359"/>
      <c r="D6" s="357">
        <v>0</v>
      </c>
    </row>
    <row r="7" spans="1:16" ht="42.75" customHeight="1" x14ac:dyDescent="0.25">
      <c r="A7" s="354" t="s">
        <v>1057</v>
      </c>
      <c r="B7" s="360" t="s">
        <v>1058</v>
      </c>
      <c r="C7" s="359"/>
      <c r="D7" s="357">
        <v>0</v>
      </c>
    </row>
    <row r="8" spans="1:16" ht="21" customHeight="1" x14ac:dyDescent="0.25">
      <c r="A8" s="355">
        <v>2</v>
      </c>
      <c r="B8" s="356" t="s">
        <v>1059</v>
      </c>
      <c r="C8" s="357">
        <v>0</v>
      </c>
      <c r="D8" s="357">
        <v>0</v>
      </c>
    </row>
    <row r="9" spans="1:16" ht="32.25" customHeight="1" x14ac:dyDescent="0.25">
      <c r="A9" s="354" t="s">
        <v>1055</v>
      </c>
      <c r="B9" s="358" t="s">
        <v>1060</v>
      </c>
      <c r="C9" s="359"/>
      <c r="D9" s="357">
        <v>0</v>
      </c>
    </row>
    <row r="10" spans="1:16" ht="48.75" customHeight="1" x14ac:dyDescent="0.25">
      <c r="A10" s="354" t="s">
        <v>1057</v>
      </c>
      <c r="B10" s="360" t="s">
        <v>1061</v>
      </c>
      <c r="C10" s="359"/>
      <c r="D10" s="357">
        <v>0</v>
      </c>
    </row>
    <row r="11" spans="1:16" ht="22.5" customHeight="1" x14ac:dyDescent="0.25">
      <c r="A11" s="355">
        <v>3</v>
      </c>
      <c r="B11" s="356" t="s">
        <v>1062</v>
      </c>
      <c r="C11" s="357">
        <v>0</v>
      </c>
      <c r="D11" s="357">
        <v>0</v>
      </c>
    </row>
    <row r="12" spans="1:16" ht="53.25" customHeight="1" x14ac:dyDescent="0.25">
      <c r="A12" s="354" t="s">
        <v>1055</v>
      </c>
      <c r="B12" s="360" t="s">
        <v>1063</v>
      </c>
      <c r="C12" s="359"/>
      <c r="D12" s="357">
        <v>0</v>
      </c>
    </row>
    <row r="13" spans="1:16" ht="24" customHeight="1" x14ac:dyDescent="0.25">
      <c r="A13" s="354" t="s">
        <v>1057</v>
      </c>
      <c r="B13" s="358" t="s">
        <v>1064</v>
      </c>
      <c r="C13" s="359"/>
      <c r="D13" s="357">
        <v>0</v>
      </c>
    </row>
    <row r="14" spans="1:16" ht="26.25" customHeight="1" x14ac:dyDescent="0.25">
      <c r="A14" s="355">
        <v>4</v>
      </c>
      <c r="B14" s="358" t="s">
        <v>1065</v>
      </c>
      <c r="C14" s="357">
        <v>0</v>
      </c>
      <c r="D14" s="357">
        <v>0</v>
      </c>
    </row>
    <row r="15" spans="1:16" ht="39.75" customHeight="1" x14ac:dyDescent="0.25">
      <c r="A15" s="354" t="s">
        <v>1055</v>
      </c>
      <c r="B15" s="360" t="s">
        <v>1066</v>
      </c>
      <c r="C15" s="359"/>
      <c r="D15" s="357">
        <v>0</v>
      </c>
    </row>
    <row r="16" spans="1:16" ht="31.5" customHeight="1" x14ac:dyDescent="0.25">
      <c r="A16" s="354" t="s">
        <v>1057</v>
      </c>
      <c r="B16" s="360" t="s">
        <v>1067</v>
      </c>
      <c r="C16" s="359"/>
      <c r="D16" s="357">
        <v>0</v>
      </c>
    </row>
    <row r="17" spans="1:4" ht="52.5" customHeight="1" x14ac:dyDescent="0.25">
      <c r="A17" s="354" t="s">
        <v>1068</v>
      </c>
      <c r="B17" s="361" t="s">
        <v>1069</v>
      </c>
      <c r="C17" s="359"/>
      <c r="D17" s="357">
        <v>0</v>
      </c>
    </row>
    <row r="18" spans="1:4" x14ac:dyDescent="0.25">
      <c r="A18" s="355">
        <v>5</v>
      </c>
      <c r="B18" s="358" t="s">
        <v>1070</v>
      </c>
      <c r="C18" s="357">
        <v>0</v>
      </c>
      <c r="D18" s="357">
        <v>0</v>
      </c>
    </row>
    <row r="19" spans="1:4" x14ac:dyDescent="0.25">
      <c r="A19" s="355">
        <v>6</v>
      </c>
      <c r="B19" s="356" t="s">
        <v>0</v>
      </c>
      <c r="C19" s="357">
        <v>0</v>
      </c>
      <c r="D19" s="357">
        <v>0</v>
      </c>
    </row>
  </sheetData>
  <mergeCells count="2">
    <mergeCell ref="A3:B3"/>
    <mergeCell ref="A4:B4"/>
  </mergeCells>
  <hyperlinks>
    <hyperlink ref="A1" location="Indhold!B90" display="Skema EU MR2-A - Markedsrisiko i henhold til metoden med interne modeller (IMA)" xr:uid="{FE694E96-F3D8-4545-82D0-3DBBB9BBA685}"/>
  </hyperlinks>
  <pageMargins left="0.70866141732283472" right="0.70866141732283472" top="0.86614173228346458" bottom="0.74803149606299213" header="0.31496062992125984" footer="0.31496062992125984"/>
  <pageSetup paperSize="9" fitToHeight="0" orientation="landscape" r:id="rId1"/>
  <headerFooter>
    <oddHeader>&amp;CDA
Bilag XXIX</oddHeader>
    <oddFooter>&amp;C&amp;P</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222A5-90CD-45E5-BBE1-AFB45E4A81DB}">
  <sheetPr>
    <tabColor rgb="FFFF0000"/>
    <pageSetUpPr fitToPage="1"/>
  </sheetPr>
  <dimension ref="A1:P17"/>
  <sheetViews>
    <sheetView showGridLines="0" zoomScaleNormal="100" workbookViewId="0"/>
  </sheetViews>
  <sheetFormatPr defaultColWidth="11.42578125" defaultRowHeight="15" x14ac:dyDescent="0.25"/>
  <cols>
    <col min="1" max="1" width="3.5703125" customWidth="1"/>
    <col min="2" max="2" width="50.140625" customWidth="1"/>
    <col min="6" max="6" width="15.28515625" customWidth="1"/>
    <col min="8" max="9" width="14.28515625" customWidth="1"/>
  </cols>
  <sheetData>
    <row r="1" spans="1:16" ht="15.75" customHeight="1" x14ac:dyDescent="0.3">
      <c r="A1" s="866" t="s">
        <v>1071</v>
      </c>
      <c r="B1" s="416"/>
      <c r="C1" s="416"/>
      <c r="D1" s="416"/>
      <c r="E1" s="416"/>
      <c r="F1" s="416"/>
      <c r="G1" s="416"/>
      <c r="H1" s="416"/>
      <c r="I1" s="416"/>
      <c r="J1" s="416"/>
      <c r="K1" s="416"/>
      <c r="L1" s="416"/>
      <c r="M1" s="416"/>
      <c r="N1" s="416"/>
      <c r="O1" s="416"/>
      <c r="P1" s="416"/>
    </row>
    <row r="2" spans="1:16" ht="15.75" customHeight="1" x14ac:dyDescent="0.25">
      <c r="A2" s="362"/>
      <c r="B2" s="362"/>
      <c r="C2" s="362"/>
      <c r="D2" s="362"/>
      <c r="E2" s="362"/>
      <c r="F2" s="362"/>
    </row>
    <row r="4" spans="1:16" x14ac:dyDescent="0.25">
      <c r="A4" s="1346"/>
      <c r="B4" s="1347"/>
      <c r="C4" s="312" t="s">
        <v>103</v>
      </c>
      <c r="D4" s="312" t="s">
        <v>102</v>
      </c>
      <c r="E4" s="312" t="s">
        <v>97</v>
      </c>
      <c r="F4" s="312" t="s">
        <v>96</v>
      </c>
      <c r="G4" s="354" t="s">
        <v>95</v>
      </c>
      <c r="H4" s="312" t="s">
        <v>111</v>
      </c>
      <c r="I4" s="312" t="s">
        <v>112</v>
      </c>
    </row>
    <row r="5" spans="1:16" ht="38.25" x14ac:dyDescent="0.25">
      <c r="A5" s="1348"/>
      <c r="B5" s="1349"/>
      <c r="C5" s="312" t="s">
        <v>1072</v>
      </c>
      <c r="D5" s="312" t="s">
        <v>1073</v>
      </c>
      <c r="E5" s="312" t="s">
        <v>1074</v>
      </c>
      <c r="F5" s="312" t="s">
        <v>1075</v>
      </c>
      <c r="G5" s="354" t="s">
        <v>972</v>
      </c>
      <c r="H5" s="312" t="s">
        <v>1076</v>
      </c>
      <c r="I5" s="312" t="s">
        <v>1245</v>
      </c>
    </row>
    <row r="6" spans="1:16" ht="25.5" x14ac:dyDescent="0.25">
      <c r="A6" s="317">
        <v>1</v>
      </c>
      <c r="B6" s="352" t="s">
        <v>1077</v>
      </c>
      <c r="C6" s="46">
        <v>0</v>
      </c>
      <c r="D6" s="46">
        <v>0</v>
      </c>
      <c r="E6" s="46">
        <v>0</v>
      </c>
      <c r="F6" s="46">
        <v>0</v>
      </c>
      <c r="G6" s="46">
        <v>0</v>
      </c>
      <c r="H6" s="46">
        <v>0</v>
      </c>
      <c r="I6" s="46">
        <v>0</v>
      </c>
    </row>
    <row r="7" spans="1:16" ht="23.25" customHeight="1" x14ac:dyDescent="0.25">
      <c r="A7" s="363" t="s">
        <v>1078</v>
      </c>
      <c r="B7" s="364" t="s">
        <v>1079</v>
      </c>
      <c r="C7" s="46">
        <v>0</v>
      </c>
      <c r="D7" s="46">
        <v>0</v>
      </c>
      <c r="E7" s="46">
        <v>0</v>
      </c>
      <c r="F7" s="46">
        <v>0</v>
      </c>
      <c r="G7" s="46">
        <v>0</v>
      </c>
      <c r="H7" s="46">
        <v>0</v>
      </c>
      <c r="I7" s="46">
        <v>0</v>
      </c>
    </row>
    <row r="8" spans="1:16" ht="25.5" x14ac:dyDescent="0.25">
      <c r="A8" s="363" t="s">
        <v>1080</v>
      </c>
      <c r="B8" s="364" t="s">
        <v>1081</v>
      </c>
      <c r="C8" s="46">
        <v>0</v>
      </c>
      <c r="D8" s="46">
        <v>0</v>
      </c>
      <c r="E8" s="46">
        <v>0</v>
      </c>
      <c r="F8" s="46">
        <v>0</v>
      </c>
      <c r="G8" s="46">
        <v>0</v>
      </c>
      <c r="H8" s="46">
        <v>0</v>
      </c>
      <c r="I8" s="46">
        <v>0</v>
      </c>
    </row>
    <row r="9" spans="1:16" x14ac:dyDescent="0.25">
      <c r="A9" s="313">
        <v>2</v>
      </c>
      <c r="B9" s="313" t="s">
        <v>1082</v>
      </c>
      <c r="C9" s="46">
        <v>0</v>
      </c>
      <c r="D9" s="46">
        <v>0</v>
      </c>
      <c r="E9" s="46">
        <v>0</v>
      </c>
      <c r="F9" s="46">
        <v>0</v>
      </c>
      <c r="G9" s="46">
        <v>0</v>
      </c>
      <c r="H9" s="46">
        <v>0</v>
      </c>
      <c r="I9" s="46">
        <v>0</v>
      </c>
    </row>
    <row r="10" spans="1:16" x14ac:dyDescent="0.25">
      <c r="A10" s="313">
        <v>3</v>
      </c>
      <c r="B10" s="313" t="s">
        <v>1083</v>
      </c>
      <c r="C10" s="46">
        <v>0</v>
      </c>
      <c r="D10" s="46">
        <v>0</v>
      </c>
      <c r="E10" s="46">
        <v>0</v>
      </c>
      <c r="F10" s="46">
        <v>0</v>
      </c>
      <c r="G10" s="46">
        <v>0</v>
      </c>
      <c r="H10" s="46">
        <v>0</v>
      </c>
      <c r="I10" s="46">
        <v>0</v>
      </c>
    </row>
    <row r="11" spans="1:16" x14ac:dyDescent="0.25">
      <c r="A11" s="313">
        <v>4</v>
      </c>
      <c r="B11" s="313" t="s">
        <v>1084</v>
      </c>
      <c r="C11" s="46">
        <v>0</v>
      </c>
      <c r="D11" s="46">
        <v>0</v>
      </c>
      <c r="E11" s="46">
        <v>0</v>
      </c>
      <c r="F11" s="46">
        <v>0</v>
      </c>
      <c r="G11" s="46">
        <v>0</v>
      </c>
      <c r="H11" s="46">
        <v>0</v>
      </c>
      <c r="I11" s="46">
        <v>0</v>
      </c>
    </row>
    <row r="12" spans="1:16" x14ac:dyDescent="0.25">
      <c r="A12" s="365">
        <v>5</v>
      </c>
      <c r="B12" s="365" t="s">
        <v>1085</v>
      </c>
      <c r="C12" s="46">
        <v>0</v>
      </c>
      <c r="D12" s="46">
        <v>0</v>
      </c>
      <c r="E12" s="46">
        <v>0</v>
      </c>
      <c r="F12" s="46">
        <v>0</v>
      </c>
      <c r="G12" s="46">
        <v>0</v>
      </c>
      <c r="H12" s="46">
        <v>0</v>
      </c>
      <c r="I12" s="46">
        <v>0</v>
      </c>
    </row>
    <row r="13" spans="1:16" x14ac:dyDescent="0.25">
      <c r="A13" s="313">
        <v>6</v>
      </c>
      <c r="B13" s="313" t="s">
        <v>1086</v>
      </c>
      <c r="C13" s="46">
        <v>0</v>
      </c>
      <c r="D13" s="46">
        <v>0</v>
      </c>
      <c r="E13" s="46">
        <v>0</v>
      </c>
      <c r="F13" s="46">
        <v>0</v>
      </c>
      <c r="G13" s="46">
        <v>0</v>
      </c>
      <c r="H13" s="46">
        <v>0</v>
      </c>
      <c r="I13" s="46">
        <v>0</v>
      </c>
    </row>
    <row r="14" spans="1:16" x14ac:dyDescent="0.25">
      <c r="A14" s="313">
        <v>7</v>
      </c>
      <c r="B14" s="313" t="s">
        <v>1070</v>
      </c>
      <c r="C14" s="46">
        <v>0</v>
      </c>
      <c r="D14" s="46">
        <v>0</v>
      </c>
      <c r="E14" s="46">
        <v>0</v>
      </c>
      <c r="F14" s="46">
        <v>0</v>
      </c>
      <c r="G14" s="46">
        <v>0</v>
      </c>
      <c r="H14" s="46">
        <v>0</v>
      </c>
      <c r="I14" s="46">
        <v>0</v>
      </c>
    </row>
    <row r="15" spans="1:16" ht="25.5" x14ac:dyDescent="0.25">
      <c r="A15" s="363" t="s">
        <v>1087</v>
      </c>
      <c r="B15" s="364" t="s">
        <v>1088</v>
      </c>
      <c r="C15" s="46">
        <v>0</v>
      </c>
      <c r="D15" s="46">
        <v>0</v>
      </c>
      <c r="E15" s="46">
        <v>0</v>
      </c>
      <c r="F15" s="46">
        <v>0</v>
      </c>
      <c r="G15" s="46">
        <v>0</v>
      </c>
      <c r="H15" s="46">
        <v>0</v>
      </c>
      <c r="I15" s="46">
        <v>0</v>
      </c>
    </row>
    <row r="16" spans="1:16" x14ac:dyDescent="0.25">
      <c r="A16" s="363" t="s">
        <v>1089</v>
      </c>
      <c r="B16" s="364" t="s">
        <v>1079</v>
      </c>
      <c r="C16" s="46">
        <v>0</v>
      </c>
      <c r="D16" s="46">
        <v>0</v>
      </c>
      <c r="E16" s="46">
        <v>0</v>
      </c>
      <c r="F16" s="46">
        <v>0</v>
      </c>
      <c r="G16" s="46">
        <v>0</v>
      </c>
      <c r="H16" s="46">
        <v>0</v>
      </c>
      <c r="I16" s="46">
        <v>0</v>
      </c>
    </row>
    <row r="17" spans="1:9" ht="25.5" x14ac:dyDescent="0.25">
      <c r="A17" s="317">
        <v>8</v>
      </c>
      <c r="B17" s="352" t="s">
        <v>1090</v>
      </c>
      <c r="C17" s="46">
        <v>0</v>
      </c>
      <c r="D17" s="46">
        <v>0</v>
      </c>
      <c r="E17" s="46">
        <v>0</v>
      </c>
      <c r="F17" s="46">
        <v>0</v>
      </c>
      <c r="G17" s="46">
        <v>0</v>
      </c>
      <c r="H17" s="46">
        <v>0</v>
      </c>
      <c r="I17" s="46">
        <v>0</v>
      </c>
    </row>
  </sheetData>
  <mergeCells count="2">
    <mergeCell ref="A4:B4"/>
    <mergeCell ref="A5:B5"/>
  </mergeCells>
  <hyperlinks>
    <hyperlink ref="A1" location="Indhold!B91" display="Skema EU MR2-B - RWEA-flowtabeller for markedsrisikoeksponeringer i henhold til IMA" xr:uid="{4D85A020-F71F-42F4-91B3-15F2C2EEEBE5}"/>
  </hyperlinks>
  <pageMargins left="0.70866141732283472" right="0.70866141732283472" top="0.74803149606299213" bottom="0.74803149606299213" header="0.31496062992125984" footer="0.31496062992125984"/>
  <pageSetup paperSize="9" scale="95" orientation="landscape" r:id="rId1"/>
  <headerFooter>
    <oddHeader>&amp;CDA
Bilag XXIX</oddHeader>
    <oddFooter>&amp;C&amp;P</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E7398-442B-42ED-BDCF-99E26564EAB0}">
  <sheetPr>
    <tabColor rgb="FFFF0000"/>
    <pageSetUpPr fitToPage="1"/>
  </sheetPr>
  <dimension ref="A1:P23"/>
  <sheetViews>
    <sheetView showGridLines="0" zoomScaleNormal="100" workbookViewId="0"/>
  </sheetViews>
  <sheetFormatPr defaultColWidth="11.42578125" defaultRowHeight="15" x14ac:dyDescent="0.25"/>
  <cols>
    <col min="1" max="1" width="6.85546875" style="85" customWidth="1"/>
    <col min="2" max="2" width="51.5703125" customWidth="1"/>
    <col min="3" max="3" width="21.7109375" customWidth="1"/>
  </cols>
  <sheetData>
    <row r="1" spans="1:16" ht="18.75" x14ac:dyDescent="0.3">
      <c r="A1" s="866" t="s">
        <v>1091</v>
      </c>
      <c r="B1" s="416"/>
      <c r="C1" s="416"/>
      <c r="D1" s="416"/>
      <c r="E1" s="416"/>
      <c r="F1" s="416"/>
      <c r="G1" s="416"/>
      <c r="H1" s="416"/>
      <c r="I1" s="416"/>
      <c r="J1" s="416"/>
      <c r="K1" s="416"/>
      <c r="L1" s="416"/>
      <c r="M1" s="416"/>
      <c r="N1" s="416"/>
      <c r="O1" s="416"/>
      <c r="P1" s="416"/>
    </row>
    <row r="3" spans="1:16" x14ac:dyDescent="0.25">
      <c r="A3" s="1348"/>
      <c r="B3" s="1349"/>
      <c r="C3" s="312" t="s">
        <v>103</v>
      </c>
    </row>
    <row r="4" spans="1:16" x14ac:dyDescent="0.25">
      <c r="A4" s="1350" t="s">
        <v>1092</v>
      </c>
      <c r="B4" s="1350"/>
      <c r="C4" s="1350"/>
    </row>
    <row r="5" spans="1:16" x14ac:dyDescent="0.25">
      <c r="A5" s="312">
        <v>1</v>
      </c>
      <c r="B5" s="313" t="s">
        <v>1093</v>
      </c>
      <c r="C5" s="46">
        <v>0</v>
      </c>
    </row>
    <row r="6" spans="1:16" x14ac:dyDescent="0.25">
      <c r="A6" s="312">
        <v>2</v>
      </c>
      <c r="B6" s="313" t="s">
        <v>1094</v>
      </c>
      <c r="C6" s="46">
        <v>0</v>
      </c>
    </row>
    <row r="7" spans="1:16" x14ac:dyDescent="0.25">
      <c r="A7" s="312">
        <v>3</v>
      </c>
      <c r="B7" s="313" t="s">
        <v>1095</v>
      </c>
      <c r="C7" s="46">
        <v>0</v>
      </c>
    </row>
    <row r="8" spans="1:16" x14ac:dyDescent="0.25">
      <c r="A8" s="312">
        <v>4</v>
      </c>
      <c r="B8" s="313" t="s">
        <v>1096</v>
      </c>
      <c r="C8" s="46">
        <v>0</v>
      </c>
    </row>
    <row r="9" spans="1:16" x14ac:dyDescent="0.25">
      <c r="A9" s="1350" t="s">
        <v>1097</v>
      </c>
      <c r="B9" s="1350"/>
      <c r="C9" s="1350"/>
    </row>
    <row r="10" spans="1:16" x14ac:dyDescent="0.25">
      <c r="A10" s="312">
        <v>5</v>
      </c>
      <c r="B10" s="313" t="s">
        <v>1093</v>
      </c>
      <c r="C10" s="46">
        <v>0</v>
      </c>
    </row>
    <row r="11" spans="1:16" x14ac:dyDescent="0.25">
      <c r="A11" s="312">
        <v>6</v>
      </c>
      <c r="B11" s="313" t="s">
        <v>1094</v>
      </c>
      <c r="C11" s="46">
        <v>0</v>
      </c>
    </row>
    <row r="12" spans="1:16" x14ac:dyDescent="0.25">
      <c r="A12" s="312">
        <v>7</v>
      </c>
      <c r="B12" s="313" t="s">
        <v>1095</v>
      </c>
      <c r="C12" s="46">
        <v>0</v>
      </c>
    </row>
    <row r="13" spans="1:16" x14ac:dyDescent="0.25">
      <c r="A13" s="312">
        <v>8</v>
      </c>
      <c r="B13" s="313" t="s">
        <v>1096</v>
      </c>
      <c r="C13" s="46">
        <v>0</v>
      </c>
    </row>
    <row r="14" spans="1:16" x14ac:dyDescent="0.25">
      <c r="A14" s="1350" t="s">
        <v>1098</v>
      </c>
      <c r="B14" s="1350"/>
      <c r="C14" s="1350"/>
    </row>
    <row r="15" spans="1:16" x14ac:dyDescent="0.25">
      <c r="A15" s="312">
        <v>9</v>
      </c>
      <c r="B15" s="313" t="s">
        <v>1093</v>
      </c>
      <c r="C15" s="46">
        <v>0</v>
      </c>
    </row>
    <row r="16" spans="1:16" x14ac:dyDescent="0.25">
      <c r="A16" s="312">
        <v>10</v>
      </c>
      <c r="B16" s="313" t="s">
        <v>1094</v>
      </c>
      <c r="C16" s="46">
        <v>0</v>
      </c>
    </row>
    <row r="17" spans="1:3" x14ac:dyDescent="0.25">
      <c r="A17" s="312">
        <v>11</v>
      </c>
      <c r="B17" s="313" t="s">
        <v>1095</v>
      </c>
      <c r="C17" s="46">
        <v>0</v>
      </c>
    </row>
    <row r="18" spans="1:3" x14ac:dyDescent="0.25">
      <c r="A18" s="312">
        <v>12</v>
      </c>
      <c r="B18" s="313" t="s">
        <v>1096</v>
      </c>
      <c r="C18" s="46">
        <v>0</v>
      </c>
    </row>
    <row r="19" spans="1:3" x14ac:dyDescent="0.25">
      <c r="A19" s="1350" t="s">
        <v>1099</v>
      </c>
      <c r="B19" s="1350"/>
      <c r="C19" s="1350"/>
    </row>
    <row r="20" spans="1:3" x14ac:dyDescent="0.25">
      <c r="A20" s="312">
        <v>13</v>
      </c>
      <c r="B20" s="313" t="s">
        <v>1093</v>
      </c>
      <c r="C20" s="46">
        <v>0</v>
      </c>
    </row>
    <row r="21" spans="1:3" x14ac:dyDescent="0.25">
      <c r="A21" s="312">
        <v>14</v>
      </c>
      <c r="B21" s="313" t="s">
        <v>1094</v>
      </c>
      <c r="C21" s="46">
        <v>0</v>
      </c>
    </row>
    <row r="22" spans="1:3" x14ac:dyDescent="0.25">
      <c r="A22" s="312">
        <v>15</v>
      </c>
      <c r="B22" s="313" t="s">
        <v>1095</v>
      </c>
      <c r="C22" s="46">
        <v>0</v>
      </c>
    </row>
    <row r="23" spans="1:3" x14ac:dyDescent="0.25">
      <c r="A23" s="312">
        <v>16</v>
      </c>
      <c r="B23" s="313" t="s">
        <v>1096</v>
      </c>
      <c r="C23" s="46">
        <v>0</v>
      </c>
    </row>
  </sheetData>
  <mergeCells count="5">
    <mergeCell ref="A3:B3"/>
    <mergeCell ref="A4:C4"/>
    <mergeCell ref="A9:C9"/>
    <mergeCell ref="A14:C14"/>
    <mergeCell ref="A19:C19"/>
  </mergeCells>
  <hyperlinks>
    <hyperlink ref="A1" location="Indhold!B92" display="Skema EU MR3 - IMA-værdier for handelsporteføljer" xr:uid="{5FAE9893-877C-460B-8149-96FE5374B1E4}"/>
  </hyperlinks>
  <pageMargins left="0.70866141732283472" right="0.70866141732283472" top="0.74803149606299213" bottom="0.74803149606299213" header="0.31496062992125984" footer="0.31496062992125984"/>
  <pageSetup paperSize="9" orientation="landscape" r:id="rId1"/>
  <headerFooter>
    <oddHeader>&amp;CDA
Bilag XXIX</oddHeader>
    <oddFooter>&amp;C&amp;P</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C23D6-0578-41DA-83BF-33CC998166A9}">
  <sheetPr>
    <tabColor rgb="FFFF0000"/>
    <pageSetUpPr fitToPage="1"/>
  </sheetPr>
  <dimension ref="A1:P22"/>
  <sheetViews>
    <sheetView showGridLines="0" zoomScaleNormal="100" workbookViewId="0"/>
  </sheetViews>
  <sheetFormatPr defaultColWidth="11.42578125" defaultRowHeight="15" x14ac:dyDescent="0.25"/>
  <sheetData>
    <row r="1" spans="1:16" ht="18.75" x14ac:dyDescent="0.3">
      <c r="A1" s="866" t="s">
        <v>1100</v>
      </c>
      <c r="B1" s="416"/>
      <c r="C1" s="416"/>
      <c r="D1" s="416"/>
      <c r="E1" s="416"/>
      <c r="F1" s="416"/>
      <c r="G1" s="416"/>
      <c r="H1" s="416"/>
      <c r="I1" s="416"/>
      <c r="J1" s="416"/>
      <c r="K1" s="416"/>
      <c r="L1" s="416"/>
      <c r="M1" s="416"/>
      <c r="N1" s="416"/>
      <c r="O1" s="416"/>
      <c r="P1" s="416"/>
    </row>
    <row r="21" spans="1:8" ht="82.5" customHeight="1" x14ac:dyDescent="0.25">
      <c r="A21" s="1351" t="s">
        <v>1101</v>
      </c>
      <c r="B21" s="1351"/>
      <c r="C21" s="1351"/>
      <c r="D21" s="1351"/>
      <c r="E21" s="1351"/>
      <c r="F21" s="1351"/>
      <c r="G21" s="1351"/>
      <c r="H21" s="1351"/>
    </row>
    <row r="22" spans="1:8" ht="37.5" customHeight="1" x14ac:dyDescent="0.25">
      <c r="A22" s="1352" t="s">
        <v>1102</v>
      </c>
      <c r="B22" s="1352"/>
      <c r="C22" s="1352"/>
      <c r="D22" s="1352"/>
      <c r="E22" s="1352"/>
      <c r="F22" s="1352"/>
      <c r="G22" s="1352"/>
      <c r="H22" s="1352"/>
    </row>
  </sheetData>
  <mergeCells count="2">
    <mergeCell ref="A21:H21"/>
    <mergeCell ref="A22:H22"/>
  </mergeCells>
  <hyperlinks>
    <hyperlink ref="A1" location="Indhold!B93" display="Skema EU MR4 - Sammenligning af VaR-estimater med gevinster/tab" xr:uid="{2BBB5FE6-1655-4B1B-B69B-F9FABD14FF0D}"/>
  </hyperlinks>
  <pageMargins left="0.70866141732283472" right="0.70866141732283472" top="0.82677165354330717" bottom="0.74803149606299213" header="0.31496062992125984" footer="0.31496062992125984"/>
  <pageSetup paperSize="9" orientation="landscape" r:id="rId1"/>
  <headerFooter>
    <oddHeader>&amp;CDA
Bilag XXIX</oddHeader>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7FB14-C5ED-402B-8A3B-CF8655E641FE}">
  <sheetPr>
    <pageSetUpPr fitToPage="1"/>
  </sheetPr>
  <dimension ref="B2:I11"/>
  <sheetViews>
    <sheetView showGridLines="0" zoomScaleNormal="100" workbookViewId="0">
      <selection activeCell="F1" sqref="F1"/>
    </sheetView>
  </sheetViews>
  <sheetFormatPr defaultColWidth="9.140625" defaultRowHeight="15" x14ac:dyDescent="0.25"/>
  <cols>
    <col min="2" max="2" width="29.140625" customWidth="1"/>
    <col min="3" max="3" width="18.140625" customWidth="1"/>
    <col min="4" max="8" width="14.7109375" customWidth="1"/>
    <col min="9" max="9" width="26.42578125" customWidth="1"/>
  </cols>
  <sheetData>
    <row r="2" spans="2:9" s="51" customFormat="1" ht="18.75" x14ac:dyDescent="0.3">
      <c r="B2" s="416" t="s">
        <v>163</v>
      </c>
      <c r="E2"/>
    </row>
    <row r="5" spans="2:9" x14ac:dyDescent="0.25">
      <c r="B5" s="464" t="s">
        <v>103</v>
      </c>
      <c r="C5" s="465" t="s">
        <v>102</v>
      </c>
      <c r="D5" s="464" t="s">
        <v>97</v>
      </c>
      <c r="E5" s="464" t="s">
        <v>96</v>
      </c>
      <c r="F5" s="464" t="s">
        <v>95</v>
      </c>
      <c r="G5" s="464" t="s">
        <v>111</v>
      </c>
      <c r="H5" s="464" t="s">
        <v>112</v>
      </c>
      <c r="I5" s="465" t="s">
        <v>164</v>
      </c>
    </row>
    <row r="6" spans="2:9" x14ac:dyDescent="0.25">
      <c r="B6" s="970" t="s">
        <v>165</v>
      </c>
      <c r="C6" s="971" t="s">
        <v>166</v>
      </c>
      <c r="D6" s="970" t="s">
        <v>167</v>
      </c>
      <c r="E6" s="970"/>
      <c r="F6" s="970"/>
      <c r="G6" s="970"/>
      <c r="H6" s="970"/>
      <c r="I6" s="466" t="s">
        <v>168</v>
      </c>
    </row>
    <row r="7" spans="2:9" ht="45" x14ac:dyDescent="0.25">
      <c r="B7" s="970"/>
      <c r="C7" s="971"/>
      <c r="D7" s="464" t="s">
        <v>169</v>
      </c>
      <c r="E7" s="464" t="s">
        <v>170</v>
      </c>
      <c r="F7" s="464" t="s">
        <v>171</v>
      </c>
      <c r="G7" s="464" t="s">
        <v>172</v>
      </c>
      <c r="H7" s="464" t="s">
        <v>173</v>
      </c>
      <c r="I7" s="467"/>
    </row>
    <row r="8" spans="2:9" ht="20.100000000000001" customHeight="1" x14ac:dyDescent="0.25">
      <c r="B8" s="461" t="s">
        <v>1237</v>
      </c>
      <c r="C8" s="461" t="s">
        <v>169</v>
      </c>
      <c r="D8" s="462" t="s">
        <v>174</v>
      </c>
      <c r="E8" s="463"/>
      <c r="F8" s="463"/>
      <c r="G8" s="463"/>
      <c r="H8" s="463"/>
      <c r="I8" s="461" t="s">
        <v>175</v>
      </c>
    </row>
    <row r="9" spans="2:9" ht="39.950000000000003" customHeight="1" x14ac:dyDescent="0.25">
      <c r="B9" s="415" t="s">
        <v>1238</v>
      </c>
      <c r="C9" s="59" t="s">
        <v>169</v>
      </c>
      <c r="D9" s="60" t="s">
        <v>174</v>
      </c>
      <c r="E9" s="60"/>
      <c r="F9" s="61"/>
      <c r="G9" s="61"/>
      <c r="H9" s="61"/>
      <c r="I9" s="59" t="s">
        <v>1241</v>
      </c>
    </row>
    <row r="10" spans="2:9" ht="39.950000000000003" customHeight="1" x14ac:dyDescent="0.25">
      <c r="B10" s="415" t="s">
        <v>1239</v>
      </c>
      <c r="C10" s="59" t="s">
        <v>169</v>
      </c>
      <c r="D10" s="60" t="s">
        <v>174</v>
      </c>
      <c r="E10" s="61"/>
      <c r="F10" s="61"/>
      <c r="G10" s="60"/>
      <c r="H10" s="60"/>
      <c r="I10" s="59" t="s">
        <v>1241</v>
      </c>
    </row>
    <row r="11" spans="2:9" ht="20.100000000000001" customHeight="1" x14ac:dyDescent="0.25">
      <c r="B11" s="59" t="s">
        <v>1240</v>
      </c>
      <c r="C11" s="59" t="s">
        <v>169</v>
      </c>
      <c r="D11" s="60" t="s">
        <v>174</v>
      </c>
      <c r="E11" s="61"/>
      <c r="F11" s="60"/>
      <c r="G11" s="61"/>
      <c r="H11" s="61"/>
      <c r="I11" s="59" t="s">
        <v>1242</v>
      </c>
    </row>
  </sheetData>
  <mergeCells count="3">
    <mergeCell ref="B6:B7"/>
    <mergeCell ref="C6:C7"/>
    <mergeCell ref="D6:H6"/>
  </mergeCells>
  <hyperlinks>
    <hyperlink ref="B2" location="Indhold!B9" display="Skema EU LI3 – Skitsering af forskellene i konsolideringens omfang (enhed for enhed) " xr:uid="{B62A4276-0191-4619-B686-F9120CE9071A}"/>
  </hyperlinks>
  <pageMargins left="0.70866141732283472" right="0.70866141732283472" top="0.74803149606299213" bottom="0.74803149606299213" header="0.31496062992125984" footer="0.31496062992125984"/>
  <pageSetup paperSize="9" scale="88" orientation="landscape" r:id="rId1"/>
  <headerFooter>
    <oddHeader>&amp;CDA
Bilag V</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3B55B-DAF7-4473-B6D3-153968EE1B65}">
  <dimension ref="A2:I133"/>
  <sheetViews>
    <sheetView showGridLines="0" zoomScaleNormal="100" zoomScalePageLayoutView="130" workbookViewId="0">
      <selection activeCell="F1" sqref="F1"/>
    </sheetView>
  </sheetViews>
  <sheetFormatPr defaultColWidth="9" defaultRowHeight="15" x14ac:dyDescent="0.25"/>
  <cols>
    <col min="1" max="1" width="6.28515625" customWidth="1"/>
    <col min="3" max="3" width="57.7109375" customWidth="1"/>
    <col min="4" max="4" width="20.42578125" style="87" customWidth="1"/>
    <col min="5" max="5" width="57" customWidth="1"/>
  </cols>
  <sheetData>
    <row r="2" spans="2:9" ht="18.75" x14ac:dyDescent="0.3">
      <c r="B2" s="416" t="s">
        <v>195</v>
      </c>
    </row>
    <row r="3" spans="2:9" ht="15" customHeight="1" x14ac:dyDescent="0.3">
      <c r="B3" s="86"/>
    </row>
    <row r="4" spans="2:9" ht="15" customHeight="1" x14ac:dyDescent="0.3">
      <c r="B4" s="86"/>
    </row>
    <row r="5" spans="2:9" x14ac:dyDescent="0.25">
      <c r="B5" s="800"/>
      <c r="C5" s="801"/>
      <c r="D5" s="468" t="s">
        <v>196</v>
      </c>
      <c r="E5" s="469" t="s">
        <v>197</v>
      </c>
    </row>
    <row r="6" spans="2:9" ht="30" x14ac:dyDescent="0.25">
      <c r="B6" s="800"/>
      <c r="C6" s="801"/>
      <c r="D6" s="468" t="s">
        <v>1423</v>
      </c>
      <c r="E6" s="469" t="s">
        <v>1445</v>
      </c>
    </row>
    <row r="7" spans="2:9" x14ac:dyDescent="0.25">
      <c r="B7" s="990" t="s">
        <v>198</v>
      </c>
      <c r="C7" s="991"/>
      <c r="D7" s="991"/>
      <c r="E7" s="992"/>
    </row>
    <row r="8" spans="2:9" ht="30" x14ac:dyDescent="0.25">
      <c r="B8" s="132">
        <v>1</v>
      </c>
      <c r="C8" s="144" t="s">
        <v>199</v>
      </c>
      <c r="D8" s="492">
        <v>75810</v>
      </c>
      <c r="E8" s="13" t="s">
        <v>1427</v>
      </c>
    </row>
    <row r="9" spans="2:9" x14ac:dyDescent="0.25">
      <c r="B9" s="132"/>
      <c r="C9" s="144" t="s">
        <v>200</v>
      </c>
      <c r="D9" s="492"/>
      <c r="E9" s="9"/>
    </row>
    <row r="10" spans="2:9" x14ac:dyDescent="0.25">
      <c r="B10" s="132"/>
      <c r="C10" s="144" t="s">
        <v>201</v>
      </c>
      <c r="D10" s="492"/>
      <c r="E10" s="9"/>
    </row>
    <row r="11" spans="2:9" x14ac:dyDescent="0.25">
      <c r="B11" s="132"/>
      <c r="C11" s="144" t="s">
        <v>202</v>
      </c>
      <c r="D11" s="492"/>
      <c r="E11" s="9"/>
    </row>
    <row r="12" spans="2:9" x14ac:dyDescent="0.25">
      <c r="B12" s="132">
        <v>2</v>
      </c>
      <c r="C12" s="144" t="s">
        <v>203</v>
      </c>
      <c r="D12" s="492">
        <f>1310596-83057</f>
        <v>1227539</v>
      </c>
      <c r="E12" s="13" t="s">
        <v>1428</v>
      </c>
    </row>
    <row r="13" spans="2:9" x14ac:dyDescent="0.25">
      <c r="B13" s="132">
        <v>3</v>
      </c>
      <c r="C13" s="144" t="s">
        <v>204</v>
      </c>
      <c r="D13" s="492">
        <f>3718-610</f>
        <v>3108</v>
      </c>
      <c r="E13" s="13" t="s">
        <v>1431</v>
      </c>
      <c r="I13" s="88"/>
    </row>
    <row r="14" spans="2:9" x14ac:dyDescent="0.25">
      <c r="B14" s="132" t="s">
        <v>205</v>
      </c>
      <c r="C14" s="144" t="s">
        <v>206</v>
      </c>
      <c r="D14" s="492">
        <v>0</v>
      </c>
      <c r="E14" s="9"/>
    </row>
    <row r="15" spans="2:9" ht="45" x14ac:dyDescent="0.25">
      <c r="B15" s="132">
        <v>4</v>
      </c>
      <c r="C15" s="144" t="s">
        <v>207</v>
      </c>
      <c r="D15" s="492">
        <v>0</v>
      </c>
      <c r="E15" s="9"/>
    </row>
    <row r="16" spans="2:9" ht="30" x14ac:dyDescent="0.25">
      <c r="B16" s="132">
        <v>5</v>
      </c>
      <c r="C16" s="144" t="s">
        <v>208</v>
      </c>
      <c r="D16" s="492">
        <v>0</v>
      </c>
      <c r="E16" s="9"/>
    </row>
    <row r="17" spans="2:6" ht="30" x14ac:dyDescent="0.25">
      <c r="B17" s="132" t="s">
        <v>209</v>
      </c>
      <c r="C17" s="144" t="s">
        <v>210</v>
      </c>
      <c r="D17" s="162">
        <f>123966-40909</f>
        <v>83057</v>
      </c>
      <c r="E17" s="13" t="s">
        <v>1435</v>
      </c>
    </row>
    <row r="18" spans="2:6" x14ac:dyDescent="0.25">
      <c r="B18" s="341">
        <v>6</v>
      </c>
      <c r="C18" s="471" t="s">
        <v>211</v>
      </c>
      <c r="D18" s="493">
        <f>+D8+D12+D17+D13</f>
        <v>1389514</v>
      </c>
      <c r="E18" s="5"/>
      <c r="F18" s="353"/>
    </row>
    <row r="19" spans="2:6" x14ac:dyDescent="0.25">
      <c r="B19" s="972" t="s">
        <v>212</v>
      </c>
      <c r="C19" s="973"/>
      <c r="D19" s="973"/>
      <c r="E19" s="974"/>
    </row>
    <row r="20" spans="2:6" x14ac:dyDescent="0.25">
      <c r="B20" s="132">
        <v>7</v>
      </c>
      <c r="C20" s="24" t="s">
        <v>213</v>
      </c>
      <c r="D20" s="492">
        <f>-3838625/1000</f>
        <v>-3838.625</v>
      </c>
      <c r="E20" s="9"/>
    </row>
    <row r="21" spans="2:6" ht="30" x14ac:dyDescent="0.25">
      <c r="B21" s="132">
        <v>8</v>
      </c>
      <c r="C21" s="24" t="s">
        <v>214</v>
      </c>
      <c r="D21" s="492">
        <v>0</v>
      </c>
      <c r="E21" s="13"/>
    </row>
    <row r="22" spans="2:6" x14ac:dyDescent="0.25">
      <c r="B22" s="132">
        <v>9</v>
      </c>
      <c r="C22" s="24" t="s">
        <v>1</v>
      </c>
      <c r="D22" s="492">
        <v>0</v>
      </c>
      <c r="E22" s="9"/>
    </row>
    <row r="23" spans="2:6" ht="75" x14ac:dyDescent="0.25">
      <c r="B23" s="132">
        <v>10</v>
      </c>
      <c r="C23" s="24" t="s">
        <v>215</v>
      </c>
      <c r="D23" s="492">
        <v>0</v>
      </c>
      <c r="E23" s="9"/>
    </row>
    <row r="24" spans="2:6" ht="45" x14ac:dyDescent="0.25">
      <c r="B24" s="132">
        <v>11</v>
      </c>
      <c r="C24" s="24" t="s">
        <v>216</v>
      </c>
      <c r="D24" s="492">
        <v>0</v>
      </c>
      <c r="E24" s="9"/>
    </row>
    <row r="25" spans="2:6" ht="30" x14ac:dyDescent="0.25">
      <c r="B25" s="132">
        <v>12</v>
      </c>
      <c r="C25" s="24" t="s">
        <v>217</v>
      </c>
      <c r="D25" s="492">
        <v>0</v>
      </c>
      <c r="E25" s="9"/>
    </row>
    <row r="26" spans="2:6" ht="30" x14ac:dyDescent="0.25">
      <c r="B26" s="132">
        <v>13</v>
      </c>
      <c r="C26" s="24" t="s">
        <v>218</v>
      </c>
      <c r="D26" s="492">
        <v>0</v>
      </c>
      <c r="E26" s="9"/>
    </row>
    <row r="27" spans="2:6" ht="30" x14ac:dyDescent="0.25">
      <c r="B27" s="132">
        <v>14</v>
      </c>
      <c r="C27" s="24" t="s">
        <v>219</v>
      </c>
      <c r="D27" s="492">
        <v>0</v>
      </c>
      <c r="E27" s="9"/>
    </row>
    <row r="28" spans="2:6" x14ac:dyDescent="0.25">
      <c r="B28" s="132">
        <v>15</v>
      </c>
      <c r="C28" s="24" t="s">
        <v>220</v>
      </c>
      <c r="D28" s="492">
        <v>0</v>
      </c>
      <c r="E28" s="9"/>
    </row>
    <row r="29" spans="2:6" ht="30" x14ac:dyDescent="0.25">
      <c r="B29" s="132">
        <v>16</v>
      </c>
      <c r="C29" s="24" t="s">
        <v>221</v>
      </c>
      <c r="D29" s="492">
        <f>(-5496225)/1000</f>
        <v>-5496.2250000000004</v>
      </c>
      <c r="E29" s="9"/>
    </row>
    <row r="30" spans="2:6" ht="75" x14ac:dyDescent="0.25">
      <c r="B30" s="132">
        <v>17</v>
      </c>
      <c r="C30" s="24" t="s">
        <v>222</v>
      </c>
      <c r="D30" s="492">
        <v>0</v>
      </c>
      <c r="E30" s="9"/>
    </row>
    <row r="31" spans="2:6" ht="75" x14ac:dyDescent="0.25">
      <c r="B31" s="132">
        <v>18</v>
      </c>
      <c r="C31" s="24" t="s">
        <v>223</v>
      </c>
      <c r="D31" s="492">
        <f>-136819452/1000</f>
        <v>-136819.45199999999</v>
      </c>
      <c r="E31" s="9"/>
    </row>
    <row r="32" spans="2:6" ht="75" x14ac:dyDescent="0.25">
      <c r="B32" s="132">
        <v>19</v>
      </c>
      <c r="C32" s="24" t="s">
        <v>224</v>
      </c>
      <c r="D32" s="492">
        <v>0</v>
      </c>
      <c r="E32" s="9"/>
    </row>
    <row r="33" spans="2:6" x14ac:dyDescent="0.25">
      <c r="B33" s="132">
        <v>20</v>
      </c>
      <c r="C33" s="24" t="s">
        <v>1</v>
      </c>
      <c r="D33" s="492"/>
      <c r="E33" s="9"/>
    </row>
    <row r="34" spans="2:6" ht="45" x14ac:dyDescent="0.25">
      <c r="B34" s="132" t="s">
        <v>225</v>
      </c>
      <c r="C34" s="24" t="s">
        <v>226</v>
      </c>
      <c r="D34" s="492">
        <v>0</v>
      </c>
      <c r="E34" s="9"/>
    </row>
    <row r="35" spans="2:6" ht="30" x14ac:dyDescent="0.25">
      <c r="B35" s="132" t="s">
        <v>227</v>
      </c>
      <c r="C35" s="24" t="s">
        <v>228</v>
      </c>
      <c r="D35" s="492">
        <v>0</v>
      </c>
      <c r="E35" s="9"/>
    </row>
    <row r="36" spans="2:6" x14ac:dyDescent="0.25">
      <c r="B36" s="132" t="s">
        <v>229</v>
      </c>
      <c r="C36" s="9" t="s">
        <v>230</v>
      </c>
      <c r="D36" s="492">
        <v>0</v>
      </c>
      <c r="E36" s="9"/>
    </row>
    <row r="37" spans="2:6" x14ac:dyDescent="0.25">
      <c r="B37" s="132" t="s">
        <v>231</v>
      </c>
      <c r="C37" s="24" t="s">
        <v>232</v>
      </c>
      <c r="D37" s="492">
        <v>0</v>
      </c>
      <c r="E37" s="9"/>
    </row>
    <row r="38" spans="2:6" ht="60" x14ac:dyDescent="0.25">
      <c r="B38" s="132">
        <v>21</v>
      </c>
      <c r="C38" s="24" t="s">
        <v>1446</v>
      </c>
      <c r="D38" s="492">
        <v>0</v>
      </c>
      <c r="E38" s="9"/>
    </row>
    <row r="39" spans="2:6" x14ac:dyDescent="0.25">
      <c r="B39" s="132">
        <v>22</v>
      </c>
      <c r="C39" s="24" t="s">
        <v>233</v>
      </c>
      <c r="D39" s="492">
        <v>0</v>
      </c>
      <c r="E39" s="9"/>
    </row>
    <row r="40" spans="2:6" ht="60" x14ac:dyDescent="0.25">
      <c r="B40" s="132">
        <v>23</v>
      </c>
      <c r="C40" s="24" t="s">
        <v>234</v>
      </c>
      <c r="D40" s="492">
        <v>0</v>
      </c>
      <c r="E40" s="9"/>
    </row>
    <row r="41" spans="2:6" x14ac:dyDescent="0.25">
      <c r="B41" s="132">
        <v>24</v>
      </c>
      <c r="C41" s="24" t="s">
        <v>1</v>
      </c>
      <c r="D41" s="492"/>
      <c r="E41" s="9"/>
    </row>
    <row r="42" spans="2:6" ht="30" x14ac:dyDescent="0.25">
      <c r="B42" s="132">
        <v>25</v>
      </c>
      <c r="C42" s="24" t="s">
        <v>235</v>
      </c>
      <c r="D42" s="492">
        <v>0</v>
      </c>
      <c r="E42" s="9"/>
    </row>
    <row r="43" spans="2:6" x14ac:dyDescent="0.25">
      <c r="B43" s="132" t="s">
        <v>236</v>
      </c>
      <c r="C43" s="24" t="s">
        <v>237</v>
      </c>
      <c r="D43" s="492">
        <v>0</v>
      </c>
      <c r="E43" s="9"/>
    </row>
    <row r="44" spans="2:6" ht="75" x14ac:dyDescent="0.25">
      <c r="B44" s="132" t="s">
        <v>238</v>
      </c>
      <c r="C44" s="24" t="s">
        <v>239</v>
      </c>
      <c r="D44" s="492">
        <v>0</v>
      </c>
      <c r="E44" s="9"/>
    </row>
    <row r="45" spans="2:6" x14ac:dyDescent="0.25">
      <c r="B45" s="132">
        <v>26</v>
      </c>
      <c r="C45" s="24" t="s">
        <v>1</v>
      </c>
      <c r="D45" s="492"/>
      <c r="E45" s="9"/>
    </row>
    <row r="46" spans="2:6" ht="30" x14ac:dyDescent="0.25">
      <c r="B46" s="132">
        <v>27</v>
      </c>
      <c r="C46" s="24" t="s">
        <v>1447</v>
      </c>
      <c r="D46" s="492">
        <v>0</v>
      </c>
      <c r="E46" s="9"/>
      <c r="F46" s="89"/>
    </row>
    <row r="47" spans="2:6" x14ac:dyDescent="0.25">
      <c r="B47" s="132" t="s">
        <v>240</v>
      </c>
      <c r="C47" s="24" t="s">
        <v>1448</v>
      </c>
      <c r="D47" s="492">
        <f>-5375037/1000</f>
        <v>-5375.0370000000003</v>
      </c>
      <c r="E47" s="9"/>
      <c r="F47" s="89"/>
    </row>
    <row r="48" spans="2:6" x14ac:dyDescent="0.25">
      <c r="B48" s="132">
        <v>28</v>
      </c>
      <c r="C48" s="473" t="s">
        <v>241</v>
      </c>
      <c r="D48" s="492">
        <f>SUM(D20:D34)+D38+D39+D43+D47</f>
        <v>-151529.33900000001</v>
      </c>
      <c r="E48" s="9"/>
    </row>
    <row r="49" spans="2:5" x14ac:dyDescent="0.25">
      <c r="B49" s="132">
        <v>29</v>
      </c>
      <c r="C49" s="473" t="s">
        <v>242</v>
      </c>
      <c r="D49" s="493">
        <f>+D18+D48</f>
        <v>1237984.6610000001</v>
      </c>
      <c r="E49" s="916"/>
    </row>
    <row r="50" spans="2:5" x14ac:dyDescent="0.25">
      <c r="B50" s="972" t="s">
        <v>243</v>
      </c>
      <c r="C50" s="973"/>
      <c r="D50" s="973"/>
      <c r="E50" s="974"/>
    </row>
    <row r="51" spans="2:5" ht="30" x14ac:dyDescent="0.25">
      <c r="B51" s="132">
        <v>30</v>
      </c>
      <c r="C51" s="24" t="s">
        <v>244</v>
      </c>
      <c r="D51" s="492">
        <v>0</v>
      </c>
      <c r="E51" s="13"/>
    </row>
    <row r="52" spans="2:5" ht="30" x14ac:dyDescent="0.25">
      <c r="B52" s="132">
        <v>31</v>
      </c>
      <c r="C52" s="24" t="s">
        <v>245</v>
      </c>
      <c r="D52" s="492">
        <v>0</v>
      </c>
      <c r="E52" s="9"/>
    </row>
    <row r="53" spans="2:5" ht="30" x14ac:dyDescent="0.25">
      <c r="B53" s="132">
        <v>32</v>
      </c>
      <c r="C53" s="24" t="s">
        <v>246</v>
      </c>
      <c r="D53" s="492">
        <v>0</v>
      </c>
      <c r="E53" s="9"/>
    </row>
    <row r="54" spans="2:5" ht="45" x14ac:dyDescent="0.25">
      <c r="B54" s="132">
        <v>33</v>
      </c>
      <c r="C54" s="24" t="s">
        <v>247</v>
      </c>
      <c r="D54" s="492">
        <v>0</v>
      </c>
      <c r="E54" s="9"/>
    </row>
    <row r="55" spans="2:5" s="25" customFormat="1" ht="30" x14ac:dyDescent="0.25">
      <c r="B55" s="132" t="s">
        <v>248</v>
      </c>
      <c r="C55" s="24" t="s">
        <v>249</v>
      </c>
      <c r="D55" s="492">
        <v>0</v>
      </c>
      <c r="E55" s="9"/>
    </row>
    <row r="56" spans="2:5" s="25" customFormat="1" ht="30" x14ac:dyDescent="0.25">
      <c r="B56" s="132" t="s">
        <v>250</v>
      </c>
      <c r="C56" s="24" t="s">
        <v>251</v>
      </c>
      <c r="D56" s="492">
        <v>0</v>
      </c>
      <c r="E56" s="9"/>
    </row>
    <row r="57" spans="2:5" ht="60" x14ac:dyDescent="0.25">
      <c r="B57" s="132">
        <v>34</v>
      </c>
      <c r="C57" s="24" t="s">
        <v>252</v>
      </c>
      <c r="D57" s="492">
        <v>0</v>
      </c>
      <c r="E57" s="9"/>
    </row>
    <row r="58" spans="2:5" ht="30" x14ac:dyDescent="0.25">
      <c r="B58" s="132">
        <v>35</v>
      </c>
      <c r="C58" s="24" t="s">
        <v>253</v>
      </c>
      <c r="D58" s="492">
        <v>0</v>
      </c>
      <c r="E58" s="9"/>
    </row>
    <row r="59" spans="2:5" x14ac:dyDescent="0.25">
      <c r="B59" s="341">
        <v>36</v>
      </c>
      <c r="C59" s="473" t="s">
        <v>254</v>
      </c>
      <c r="D59" s="493">
        <v>0</v>
      </c>
      <c r="E59" s="9"/>
    </row>
    <row r="60" spans="2:5" x14ac:dyDescent="0.25">
      <c r="B60" s="972" t="s">
        <v>255</v>
      </c>
      <c r="C60" s="973"/>
      <c r="D60" s="973"/>
      <c r="E60" s="974"/>
    </row>
    <row r="61" spans="2:5" ht="30" x14ac:dyDescent="0.25">
      <c r="B61" s="132">
        <v>37</v>
      </c>
      <c r="C61" s="24" t="s">
        <v>256</v>
      </c>
      <c r="D61" s="470">
        <v>0</v>
      </c>
      <c r="E61" s="9"/>
    </row>
    <row r="62" spans="2:5" ht="75" x14ac:dyDescent="0.25">
      <c r="B62" s="132">
        <v>38</v>
      </c>
      <c r="C62" s="24" t="s">
        <v>257</v>
      </c>
      <c r="D62" s="470">
        <v>0</v>
      </c>
      <c r="E62" s="9"/>
    </row>
    <row r="63" spans="2:5" ht="75" x14ac:dyDescent="0.25">
      <c r="B63" s="132">
        <v>39</v>
      </c>
      <c r="C63" s="24" t="s">
        <v>258</v>
      </c>
      <c r="D63" s="470">
        <v>0</v>
      </c>
      <c r="E63" s="9"/>
    </row>
    <row r="64" spans="2:5" ht="75" x14ac:dyDescent="0.25">
      <c r="B64" s="132">
        <v>40</v>
      </c>
      <c r="C64" s="24" t="s">
        <v>259</v>
      </c>
      <c r="D64" s="470">
        <v>0</v>
      </c>
      <c r="E64" s="9"/>
    </row>
    <row r="65" spans="1:5" x14ac:dyDescent="0.25">
      <c r="B65" s="132">
        <v>41</v>
      </c>
      <c r="C65" s="24" t="s">
        <v>1</v>
      </c>
      <c r="D65" s="470">
        <v>0</v>
      </c>
      <c r="E65" s="9"/>
    </row>
    <row r="66" spans="1:5" ht="30" x14ac:dyDescent="0.25">
      <c r="B66" s="132">
        <v>42</v>
      </c>
      <c r="C66" s="24" t="s">
        <v>1449</v>
      </c>
      <c r="D66" s="470">
        <v>0</v>
      </c>
      <c r="E66" s="9"/>
    </row>
    <row r="67" spans="1:5" x14ac:dyDescent="0.25">
      <c r="B67" s="132" t="s">
        <v>260</v>
      </c>
      <c r="C67" s="24" t="s">
        <v>261</v>
      </c>
      <c r="D67" s="470">
        <v>0</v>
      </c>
      <c r="E67" s="9"/>
    </row>
    <row r="68" spans="1:5" x14ac:dyDescent="0.25">
      <c r="B68" s="341">
        <v>43</v>
      </c>
      <c r="C68" s="473" t="s">
        <v>262</v>
      </c>
      <c r="D68" s="472">
        <v>0</v>
      </c>
      <c r="E68" s="9"/>
    </row>
    <row r="69" spans="1:5" x14ac:dyDescent="0.25">
      <c r="B69" s="341">
        <v>44</v>
      </c>
      <c r="C69" s="473" t="s">
        <v>263</v>
      </c>
      <c r="D69" s="472">
        <v>0</v>
      </c>
      <c r="E69" s="9"/>
    </row>
    <row r="70" spans="1:5" ht="30" x14ac:dyDescent="0.25">
      <c r="B70" s="341">
        <v>45</v>
      </c>
      <c r="C70" s="473" t="s">
        <v>264</v>
      </c>
      <c r="D70" s="472">
        <f>+D49</f>
        <v>1237984.6610000001</v>
      </c>
      <c r="E70" s="9"/>
    </row>
    <row r="71" spans="1:5" x14ac:dyDescent="0.25">
      <c r="B71" s="972" t="s">
        <v>265</v>
      </c>
      <c r="C71" s="973"/>
      <c r="D71" s="973"/>
      <c r="E71" s="974"/>
    </row>
    <row r="72" spans="1:5" ht="30" x14ac:dyDescent="0.25">
      <c r="B72" s="132">
        <v>46</v>
      </c>
      <c r="C72" s="24" t="s">
        <v>244</v>
      </c>
      <c r="D72" s="492">
        <v>0</v>
      </c>
      <c r="E72" s="9"/>
    </row>
    <row r="73" spans="1:5" ht="45" x14ac:dyDescent="0.25">
      <c r="B73" s="132">
        <v>47</v>
      </c>
      <c r="C73" s="24" t="s">
        <v>266</v>
      </c>
      <c r="D73" s="492">
        <v>0</v>
      </c>
      <c r="E73" s="9"/>
    </row>
    <row r="74" spans="1:5" s="25" customFormat="1" ht="30" x14ac:dyDescent="0.25">
      <c r="A74" s="1"/>
      <c r="B74" s="132" t="s">
        <v>267</v>
      </c>
      <c r="C74" s="24" t="s">
        <v>268</v>
      </c>
      <c r="D74" s="492">
        <v>0</v>
      </c>
      <c r="E74" s="9"/>
    </row>
    <row r="75" spans="1:5" s="25" customFormat="1" ht="30" x14ac:dyDescent="0.25">
      <c r="A75" s="1"/>
      <c r="B75" s="132" t="s">
        <v>269</v>
      </c>
      <c r="C75" s="24" t="s">
        <v>270</v>
      </c>
      <c r="D75" s="492">
        <v>0</v>
      </c>
      <c r="E75" s="9"/>
    </row>
    <row r="76" spans="1:5" ht="75" x14ac:dyDescent="0.25">
      <c r="B76" s="132">
        <v>48</v>
      </c>
      <c r="C76" s="24" t="s">
        <v>271</v>
      </c>
      <c r="D76" s="492">
        <v>0</v>
      </c>
      <c r="E76" s="9"/>
    </row>
    <row r="77" spans="1:5" ht="30" x14ac:dyDescent="0.25">
      <c r="B77" s="132">
        <v>49</v>
      </c>
      <c r="C77" s="24" t="s">
        <v>272</v>
      </c>
      <c r="D77" s="492">
        <v>0</v>
      </c>
      <c r="E77" s="9"/>
    </row>
    <row r="78" spans="1:5" x14ac:dyDescent="0.25">
      <c r="B78" s="132">
        <v>50</v>
      </c>
      <c r="C78" s="24" t="s">
        <v>273</v>
      </c>
      <c r="D78" s="492">
        <v>0</v>
      </c>
      <c r="E78" s="9"/>
    </row>
    <row r="79" spans="1:5" x14ac:dyDescent="0.25">
      <c r="B79" s="341">
        <v>51</v>
      </c>
      <c r="C79" s="473" t="s">
        <v>274</v>
      </c>
      <c r="D79" s="493">
        <v>0</v>
      </c>
      <c r="E79" s="5"/>
    </row>
    <row r="80" spans="1:5" x14ac:dyDescent="0.25">
      <c r="B80" s="972" t="s">
        <v>275</v>
      </c>
      <c r="C80" s="973"/>
      <c r="D80" s="973"/>
      <c r="E80" s="974"/>
    </row>
    <row r="81" spans="2:5" ht="45" x14ac:dyDescent="0.25">
      <c r="B81" s="132">
        <v>52</v>
      </c>
      <c r="C81" s="24" t="s">
        <v>276</v>
      </c>
      <c r="D81" s="492">
        <v>0</v>
      </c>
      <c r="E81" s="9"/>
    </row>
    <row r="82" spans="2:5" ht="75" x14ac:dyDescent="0.25">
      <c r="B82" s="132">
        <v>53</v>
      </c>
      <c r="C82" s="24" t="s">
        <v>277</v>
      </c>
      <c r="D82" s="492">
        <v>0</v>
      </c>
      <c r="E82" s="9"/>
    </row>
    <row r="83" spans="2:5" ht="75" x14ac:dyDescent="0.25">
      <c r="B83" s="132">
        <v>54</v>
      </c>
      <c r="C83" s="24" t="s">
        <v>278</v>
      </c>
      <c r="D83" s="492">
        <v>0</v>
      </c>
      <c r="E83" s="9"/>
    </row>
    <row r="84" spans="2:5" x14ac:dyDescent="0.25">
      <c r="B84" s="132" t="s">
        <v>279</v>
      </c>
      <c r="C84" s="24" t="s">
        <v>1</v>
      </c>
      <c r="D84" s="492">
        <v>0</v>
      </c>
      <c r="E84" s="9"/>
    </row>
    <row r="85" spans="2:5" ht="75" x14ac:dyDescent="0.25">
      <c r="B85" s="132">
        <v>55</v>
      </c>
      <c r="C85" s="24" t="s">
        <v>280</v>
      </c>
      <c r="D85" s="492">
        <v>0</v>
      </c>
      <c r="E85" s="9"/>
    </row>
    <row r="86" spans="2:5" x14ac:dyDescent="0.25">
      <c r="B86" s="132">
        <v>56</v>
      </c>
      <c r="C86" s="24" t="s">
        <v>1</v>
      </c>
      <c r="D86" s="492">
        <v>0</v>
      </c>
      <c r="E86" s="9"/>
    </row>
    <row r="87" spans="2:5" ht="45" x14ac:dyDescent="0.25">
      <c r="B87" s="132" t="s">
        <v>1450</v>
      </c>
      <c r="C87" s="9" t="s">
        <v>281</v>
      </c>
      <c r="D87" s="493">
        <v>0</v>
      </c>
      <c r="E87" s="9"/>
    </row>
    <row r="88" spans="2:5" x14ac:dyDescent="0.25">
      <c r="B88" s="132" t="s">
        <v>282</v>
      </c>
      <c r="C88" s="9" t="s">
        <v>283</v>
      </c>
      <c r="D88" s="493">
        <v>0</v>
      </c>
      <c r="E88" s="9"/>
    </row>
    <row r="89" spans="2:5" x14ac:dyDescent="0.25">
      <c r="B89" s="341">
        <v>57</v>
      </c>
      <c r="C89" s="5" t="s">
        <v>284</v>
      </c>
      <c r="D89" s="493">
        <v>0</v>
      </c>
      <c r="E89" s="9"/>
    </row>
    <row r="90" spans="2:5" x14ac:dyDescent="0.25">
      <c r="B90" s="341">
        <v>58</v>
      </c>
      <c r="C90" s="5" t="s">
        <v>285</v>
      </c>
      <c r="D90" s="493">
        <v>0</v>
      </c>
      <c r="E90" s="9"/>
    </row>
    <row r="91" spans="2:5" ht="30" x14ac:dyDescent="0.25">
      <c r="B91" s="341">
        <v>59</v>
      </c>
      <c r="C91" s="5" t="s">
        <v>286</v>
      </c>
      <c r="D91" s="493">
        <f>+D70</f>
        <v>1237984.6610000001</v>
      </c>
      <c r="E91" s="9"/>
    </row>
    <row r="92" spans="2:5" x14ac:dyDescent="0.25">
      <c r="B92" s="341">
        <v>60</v>
      </c>
      <c r="C92" s="5" t="s">
        <v>89</v>
      </c>
      <c r="D92" s="493">
        <f>5136453489/1000</f>
        <v>5136453.4890000001</v>
      </c>
      <c r="E92" s="5"/>
    </row>
    <row r="93" spans="2:5" x14ac:dyDescent="0.25">
      <c r="B93" s="972" t="s">
        <v>287</v>
      </c>
      <c r="C93" s="973"/>
      <c r="D93" s="973"/>
      <c r="E93" s="974"/>
    </row>
    <row r="94" spans="2:5" x14ac:dyDescent="0.25">
      <c r="B94" s="132">
        <v>61</v>
      </c>
      <c r="C94" s="24" t="s">
        <v>288</v>
      </c>
      <c r="D94" s="494">
        <f>+D91/D92</f>
        <v>0.2410193460626506</v>
      </c>
      <c r="E94" s="9"/>
    </row>
    <row r="95" spans="2:5" x14ac:dyDescent="0.25">
      <c r="B95" s="132">
        <v>62</v>
      </c>
      <c r="C95" s="24" t="s">
        <v>289</v>
      </c>
      <c r="D95" s="494">
        <f>+D94</f>
        <v>0.2410193460626506</v>
      </c>
      <c r="E95" s="9"/>
    </row>
    <row r="96" spans="2:5" x14ac:dyDescent="0.25">
      <c r="B96" s="132">
        <v>63</v>
      </c>
      <c r="C96" s="24" t="s">
        <v>290</v>
      </c>
      <c r="D96" s="494">
        <f>+D95</f>
        <v>0.2410193460626506</v>
      </c>
      <c r="E96" s="9"/>
    </row>
    <row r="97" spans="2:5" ht="14.65" customHeight="1" x14ac:dyDescent="0.25">
      <c r="B97" s="132">
        <v>64</v>
      </c>
      <c r="C97" s="24" t="s">
        <v>291</v>
      </c>
      <c r="D97" s="494">
        <v>0.11020000000000001</v>
      </c>
      <c r="E97" s="9"/>
    </row>
    <row r="98" spans="2:5" ht="17.649999999999999" customHeight="1" x14ac:dyDescent="0.25">
      <c r="B98" s="132">
        <v>65</v>
      </c>
      <c r="C98" s="9" t="s">
        <v>292</v>
      </c>
      <c r="D98" s="494">
        <f>128411337/D92/1000</f>
        <v>2.4999999956195455E-2</v>
      </c>
      <c r="E98" s="9"/>
    </row>
    <row r="99" spans="2:5" x14ac:dyDescent="0.25">
      <c r="B99" s="132">
        <v>66</v>
      </c>
      <c r="C99" s="9" t="s">
        <v>293</v>
      </c>
      <c r="D99" s="494">
        <f>128411337/D92/1000</f>
        <v>2.4999999956195455E-2</v>
      </c>
      <c r="E99" s="9"/>
    </row>
    <row r="100" spans="2:5" x14ac:dyDescent="0.25">
      <c r="B100" s="132">
        <v>67</v>
      </c>
      <c r="C100" s="9" t="s">
        <v>294</v>
      </c>
      <c r="D100" s="494">
        <f>25994877/D92/1000</f>
        <v>5.0608609725892525E-3</v>
      </c>
      <c r="E100" s="9"/>
    </row>
    <row r="101" spans="2:5" x14ac:dyDescent="0.25">
      <c r="B101" s="132" t="s">
        <v>295</v>
      </c>
      <c r="C101" s="24" t="s">
        <v>296</v>
      </c>
      <c r="D101" s="492">
        <v>0</v>
      </c>
      <c r="E101" s="9"/>
    </row>
    <row r="102" spans="2:5" ht="30" x14ac:dyDescent="0.25">
      <c r="B102" s="132" t="s">
        <v>297</v>
      </c>
      <c r="C102" s="24" t="s">
        <v>298</v>
      </c>
      <c r="D102" s="494">
        <f>5.51%-4.5%</f>
        <v>1.0099999999999998E-2</v>
      </c>
      <c r="E102" s="9"/>
    </row>
    <row r="103" spans="2:5" ht="45" x14ac:dyDescent="0.25">
      <c r="B103" s="132">
        <v>68</v>
      </c>
      <c r="C103" s="473" t="s">
        <v>299</v>
      </c>
      <c r="D103" s="494">
        <f>+D96-('2'!D21/100)</f>
        <v>0.1430193460626506</v>
      </c>
      <c r="E103" s="9"/>
    </row>
    <row r="104" spans="2:5" x14ac:dyDescent="0.25">
      <c r="B104" s="972" t="s">
        <v>300</v>
      </c>
      <c r="C104" s="973"/>
      <c r="D104" s="973"/>
      <c r="E104" s="974"/>
    </row>
    <row r="105" spans="2:5" x14ac:dyDescent="0.25">
      <c r="B105" s="132">
        <v>69</v>
      </c>
      <c r="C105" s="11" t="s">
        <v>1451</v>
      </c>
      <c r="D105" s="470"/>
      <c r="E105" s="9"/>
    </row>
    <row r="106" spans="2:5" x14ac:dyDescent="0.25">
      <c r="B106" s="132">
        <v>70</v>
      </c>
      <c r="C106" s="11" t="s">
        <v>1451</v>
      </c>
      <c r="D106" s="470"/>
      <c r="E106" s="9"/>
    </row>
    <row r="107" spans="2:5" x14ac:dyDescent="0.25">
      <c r="B107" s="132">
        <v>71</v>
      </c>
      <c r="C107" s="11" t="s">
        <v>1451</v>
      </c>
      <c r="D107" s="470"/>
      <c r="E107" s="9"/>
    </row>
    <row r="108" spans="2:5" x14ac:dyDescent="0.25">
      <c r="B108" s="972" t="s">
        <v>301</v>
      </c>
      <c r="C108" s="973"/>
      <c r="D108" s="973"/>
      <c r="E108" s="974"/>
    </row>
    <row r="109" spans="2:5" x14ac:dyDescent="0.25">
      <c r="B109" s="978">
        <v>72</v>
      </c>
      <c r="C109" s="981" t="s">
        <v>1452</v>
      </c>
      <c r="D109" s="984">
        <f>(274837363-136819452)/1000</f>
        <v>138017.91099999999</v>
      </c>
      <c r="E109" s="987"/>
    </row>
    <row r="110" spans="2:5" ht="11.1" customHeight="1" x14ac:dyDescent="0.25">
      <c r="B110" s="979"/>
      <c r="C110" s="982"/>
      <c r="D110" s="985"/>
      <c r="E110" s="988"/>
    </row>
    <row r="111" spans="2:5" ht="11.1" customHeight="1" x14ac:dyDescent="0.25">
      <c r="B111" s="979"/>
      <c r="C111" s="982"/>
      <c r="D111" s="985"/>
      <c r="E111" s="988"/>
    </row>
    <row r="112" spans="2:5" x14ac:dyDescent="0.25">
      <c r="B112" s="980"/>
      <c r="C112" s="983"/>
      <c r="D112" s="986"/>
      <c r="E112" s="989"/>
    </row>
    <row r="113" spans="2:5" ht="75" x14ac:dyDescent="0.25">
      <c r="B113" s="132">
        <v>73</v>
      </c>
      <c r="C113" s="24" t="s">
        <v>302</v>
      </c>
      <c r="D113" s="492">
        <f>5229024/1000</f>
        <v>5229.0240000000003</v>
      </c>
      <c r="E113" s="9"/>
    </row>
    <row r="114" spans="2:5" x14ac:dyDescent="0.25">
      <c r="B114" s="132">
        <v>74</v>
      </c>
      <c r="C114" s="24" t="s">
        <v>1</v>
      </c>
      <c r="D114" s="492"/>
      <c r="E114" s="9"/>
    </row>
    <row r="115" spans="2:5" ht="60" x14ac:dyDescent="0.25">
      <c r="B115" s="132">
        <v>75</v>
      </c>
      <c r="C115" s="24" t="s">
        <v>1453</v>
      </c>
      <c r="D115" s="492">
        <v>0</v>
      </c>
      <c r="E115" s="9"/>
    </row>
    <row r="116" spans="2:5" x14ac:dyDescent="0.25">
      <c r="B116" s="972" t="s">
        <v>303</v>
      </c>
      <c r="C116" s="973"/>
      <c r="D116" s="973"/>
      <c r="E116" s="974"/>
    </row>
    <row r="117" spans="2:5" ht="45" x14ac:dyDescent="0.25">
      <c r="B117" s="132">
        <v>76</v>
      </c>
      <c r="C117" s="24" t="s">
        <v>304</v>
      </c>
      <c r="D117" s="492">
        <f>164154308/1000</f>
        <v>164154.30799999999</v>
      </c>
      <c r="E117" s="9"/>
    </row>
    <row r="118" spans="2:5" ht="30" x14ac:dyDescent="0.25">
      <c r="B118" s="132">
        <v>77</v>
      </c>
      <c r="C118" s="24" t="s">
        <v>305</v>
      </c>
      <c r="D118" s="492">
        <v>0</v>
      </c>
      <c r="E118" s="9"/>
    </row>
    <row r="119" spans="2:5" ht="45" x14ac:dyDescent="0.25">
      <c r="B119" s="132">
        <v>78</v>
      </c>
      <c r="C119" s="24" t="s">
        <v>306</v>
      </c>
      <c r="D119" s="492">
        <v>0</v>
      </c>
      <c r="E119" s="9"/>
    </row>
    <row r="120" spans="2:5" ht="30" x14ac:dyDescent="0.25">
      <c r="B120" s="132">
        <v>79</v>
      </c>
      <c r="C120" s="24" t="s">
        <v>307</v>
      </c>
      <c r="D120" s="492">
        <v>0</v>
      </c>
      <c r="E120" s="9"/>
    </row>
    <row r="121" spans="2:5" x14ac:dyDescent="0.25">
      <c r="B121" s="975" t="s">
        <v>308</v>
      </c>
      <c r="C121" s="976"/>
      <c r="D121" s="976"/>
      <c r="E121" s="977"/>
    </row>
    <row r="122" spans="2:5" ht="30" x14ac:dyDescent="0.25">
      <c r="B122" s="132">
        <v>80</v>
      </c>
      <c r="C122" s="24" t="s">
        <v>309</v>
      </c>
      <c r="D122" s="474">
        <v>0</v>
      </c>
      <c r="E122" s="9"/>
    </row>
    <row r="123" spans="2:5" ht="30" x14ac:dyDescent="0.25">
      <c r="B123" s="132">
        <v>81</v>
      </c>
      <c r="C123" s="24" t="s">
        <v>310</v>
      </c>
      <c r="D123" s="474">
        <v>0</v>
      </c>
      <c r="E123" s="9"/>
    </row>
    <row r="124" spans="2:5" ht="30" x14ac:dyDescent="0.25">
      <c r="B124" s="132">
        <v>82</v>
      </c>
      <c r="C124" s="24" t="s">
        <v>311</v>
      </c>
      <c r="D124" s="474">
        <v>0</v>
      </c>
      <c r="E124" s="9"/>
    </row>
    <row r="125" spans="2:5" ht="30" x14ac:dyDescent="0.25">
      <c r="B125" s="132">
        <v>83</v>
      </c>
      <c r="C125" s="24" t="s">
        <v>312</v>
      </c>
      <c r="D125" s="474">
        <v>0</v>
      </c>
      <c r="E125" s="9"/>
    </row>
    <row r="126" spans="2:5" ht="30" x14ac:dyDescent="0.25">
      <c r="B126" s="132">
        <v>84</v>
      </c>
      <c r="C126" s="24" t="s">
        <v>313</v>
      </c>
      <c r="D126" s="474">
        <v>0</v>
      </c>
      <c r="E126" s="9"/>
    </row>
    <row r="127" spans="2:5" ht="30" x14ac:dyDescent="0.25">
      <c r="B127" s="132">
        <v>85</v>
      </c>
      <c r="C127" s="24" t="s">
        <v>314</v>
      </c>
      <c r="D127" s="474">
        <v>0</v>
      </c>
      <c r="E127" s="9"/>
    </row>
    <row r="128" spans="2:5" x14ac:dyDescent="0.25">
      <c r="B128" s="90"/>
    </row>
    <row r="129" spans="2:2" x14ac:dyDescent="0.25">
      <c r="B129" s="90"/>
    </row>
    <row r="130" spans="2:2" x14ac:dyDescent="0.25">
      <c r="B130" s="91"/>
    </row>
    <row r="131" spans="2:2" x14ac:dyDescent="0.25">
      <c r="B131" s="91"/>
    </row>
    <row r="132" spans="2:2" x14ac:dyDescent="0.25">
      <c r="B132" s="91"/>
    </row>
    <row r="133" spans="2:2" x14ac:dyDescent="0.25">
      <c r="B133" s="91"/>
    </row>
  </sheetData>
  <mergeCells count="15">
    <mergeCell ref="B80:E80"/>
    <mergeCell ref="B7:E7"/>
    <mergeCell ref="B19:E19"/>
    <mergeCell ref="B50:E50"/>
    <mergeCell ref="B60:E60"/>
    <mergeCell ref="B71:E71"/>
    <mergeCell ref="B116:E116"/>
    <mergeCell ref="B121:E121"/>
    <mergeCell ref="B93:E93"/>
    <mergeCell ref="B104:E104"/>
    <mergeCell ref="B108:E108"/>
    <mergeCell ref="B109:B112"/>
    <mergeCell ref="C109:C112"/>
    <mergeCell ref="D109:D112"/>
    <mergeCell ref="E109:E112"/>
  </mergeCells>
  <hyperlinks>
    <hyperlink ref="B2" location="Indhold!B11" display="Skema EU CC1 — Sammensætning af lovpligtigt kapitalgrundlag" xr:uid="{70C1F89A-0916-427A-A8D2-7CDA890BFD34}"/>
  </hyperlinks>
  <pageMargins left="0.23622047244094491" right="0.23622047244094491" top="0.74803149606299213" bottom="0.74803149606299213" header="0.31496062992125984" footer="0.31496062992125984"/>
  <pageSetup paperSize="9" scale="75" orientation="landscape" r:id="rId1"/>
  <headerFooter>
    <oddHeader>&amp;CDA
Bilag VII</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73</vt:i4>
      </vt:variant>
      <vt:variant>
        <vt:lpstr>Navngivne områder</vt:lpstr>
      </vt:variant>
      <vt:variant>
        <vt:i4>20</vt:i4>
      </vt:variant>
    </vt:vector>
  </HeadingPairs>
  <TitlesOfParts>
    <vt:vector size="93" baseType="lpstr">
      <vt:lpstr>Indledning</vt:lpstr>
      <vt:lpstr>Erklæring</vt:lpstr>
      <vt:lpstr>Indhold</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EU INS1</vt:lpstr>
      <vt:lpstr>EU INS2</vt:lpstr>
      <vt:lpstr>Skema EU PV1</vt:lpstr>
      <vt:lpstr>EU CCyB1</vt:lpstr>
      <vt:lpstr>Skema EU CR2a</vt:lpstr>
      <vt:lpstr>Skema EU CQ2</vt:lpstr>
      <vt:lpstr>Skema EU CQ4</vt:lpstr>
      <vt:lpstr>Skema EU CQ6</vt:lpstr>
      <vt:lpstr>Skema EU CQ8</vt:lpstr>
      <vt:lpstr>EU CR6</vt:lpstr>
      <vt:lpstr>EU CR6-A</vt:lpstr>
      <vt:lpstr>EU CR7</vt:lpstr>
      <vt:lpstr>EU CR7-A</vt:lpstr>
      <vt:lpstr>EU CR8</vt:lpstr>
      <vt:lpstr>EU CR9</vt:lpstr>
      <vt:lpstr>EU CR9.1</vt:lpstr>
      <vt:lpstr>EU CR10 </vt:lpstr>
      <vt:lpstr>Skema EU CCR4</vt:lpstr>
      <vt:lpstr>Skema EU CCR7</vt:lpstr>
      <vt:lpstr>EU MR2-A</vt:lpstr>
      <vt:lpstr>EU MR2-B</vt:lpstr>
      <vt:lpstr>EU MR3</vt:lpstr>
      <vt:lpstr>EU MR4</vt:lpstr>
      <vt:lpstr>'25'!_ftn1</vt:lpstr>
      <vt:lpstr>'25'!_ftnref1</vt:lpstr>
      <vt:lpstr>'3'!_Toc483499698</vt:lpstr>
      <vt:lpstr>Indledning!Print_Area</vt:lpstr>
      <vt:lpstr>'10'!Udskriftsområde</vt:lpstr>
      <vt:lpstr>'20'!Udskriftsområde</vt:lpstr>
      <vt:lpstr>'3'!Udskriftsområde</vt:lpstr>
      <vt:lpstr>'30'!Udskriftsområde</vt:lpstr>
      <vt:lpstr>'31'!Udskriftsområde</vt:lpstr>
      <vt:lpstr>'32'!Udskriftsområde</vt:lpstr>
      <vt:lpstr>'42'!Udskriftsområde</vt:lpstr>
      <vt:lpstr>'6'!Udskriftsområde</vt:lpstr>
      <vt:lpstr>'8'!Udskriftsområde</vt:lpstr>
      <vt:lpstr>'9'!Udskriftsområde</vt:lpstr>
      <vt:lpstr>'EU CR6-A'!Udskriftsområde</vt:lpstr>
      <vt:lpstr>'EU CR7'!Udskriftsområde</vt:lpstr>
      <vt:lpstr>'EU CR9'!Udskriftsområde</vt:lpstr>
      <vt:lpstr>'EU CR9.1'!Udskriftsområde</vt:lpstr>
      <vt:lpstr>'31'!Udskriftstitler</vt:lpstr>
      <vt:lpstr>'6'!Udskriftstitler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Kenneth K. Hansen</dc:creator>
  <cp:lastModifiedBy>Kenneth Hansen</cp:lastModifiedBy>
  <cp:lastPrinted>2022-02-09T13:51:41Z</cp:lastPrinted>
  <dcterms:created xsi:type="dcterms:W3CDTF">2022-02-09T07:27:06Z</dcterms:created>
  <dcterms:modified xsi:type="dcterms:W3CDTF">2025-02-12T09:27:10Z</dcterms:modified>
</cp:coreProperties>
</file>