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bfd4\b00338\Afd\Stab\Administration\Økonomi\RISIKORAPPORT\2024\Regneark\"/>
    </mc:Choice>
  </mc:AlternateContent>
  <xr:revisionPtr revIDLastSave="0" documentId="13_ncr:1_{DC914123-8F41-4CE2-A6C7-660E0CBE9DC4}" xr6:coauthVersionLast="47" xr6:coauthVersionMax="47" xr10:uidLastSave="{00000000-0000-0000-0000-000000000000}"/>
  <bookViews>
    <workbookView xWindow="28680" yWindow="1005" windowWidth="29040" windowHeight="15840" tabRatio="886" xr2:uid="{937A524D-0DA4-499C-B1B3-D2497D484FDA}"/>
  </bookViews>
  <sheets>
    <sheet name="Indledning" sheetId="70" r:id="rId1"/>
    <sheet name="Erklæring" sheetId="71" r:id="rId2"/>
    <sheet name="Indhold" sheetId="1" r:id="rId3"/>
    <sheet name="1" sheetId="2" r:id="rId4"/>
    <sheet name="2" sheetId="3" r:id="rId5"/>
    <sheet name="3" sheetId="6" r:id="rId6"/>
    <sheet name="4" sheetId="7" r:id="rId7"/>
    <sheet name="5" sheetId="8" r:id="rId8"/>
    <sheet name="6" sheetId="10" r:id="rId9"/>
    <sheet name="7" sheetId="11" r:id="rId10"/>
    <sheet name="8" sheetId="14" r:id="rId11"/>
    <sheet name="9" sheetId="15" r:id="rId12"/>
    <sheet name="10" sheetId="16" r:id="rId13"/>
    <sheet name="11" sheetId="17" r:id="rId14"/>
    <sheet name="12" sheetId="18" r:id="rId15"/>
    <sheet name="13" sheetId="13" r:id="rId16"/>
    <sheet name="14" sheetId="19" r:id="rId17"/>
    <sheet name="15" sheetId="20" r:id="rId18"/>
    <sheet name="16" sheetId="21" r:id="rId19"/>
    <sheet name="17" sheetId="23" r:id="rId20"/>
    <sheet name="18" sheetId="25" r:id="rId21"/>
    <sheet name="19" sheetId="27" r:id="rId22"/>
    <sheet name="20" sheetId="31" r:id="rId23"/>
    <sheet name="21" sheetId="32" r:id="rId24"/>
    <sheet name="22" sheetId="33" r:id="rId25"/>
    <sheet name="23" sheetId="43" r:id="rId26"/>
    <sheet name="24" sheetId="44" r:id="rId27"/>
    <sheet name="25" sheetId="55" r:id="rId28"/>
    <sheet name="26" sheetId="60" r:id="rId29"/>
    <sheet name="27" sheetId="61" r:id="rId30"/>
    <sheet name="28" sheetId="65" r:id="rId31"/>
    <sheet name="29" sheetId="66" r:id="rId32"/>
    <sheet name="30" sheetId="73" r:id="rId33"/>
    <sheet name="31" sheetId="74" r:id="rId34"/>
    <sheet name="32" sheetId="75" r:id="rId35"/>
    <sheet name="33" sheetId="29" r:id="rId36"/>
    <sheet name="34" sheetId="42" r:id="rId37"/>
    <sheet name="35" sheetId="46" r:id="rId38"/>
    <sheet name="36" sheetId="47" r:id="rId39"/>
    <sheet name="37" sheetId="49" r:id="rId40"/>
    <sheet name="38" sheetId="50" r:id="rId41"/>
    <sheet name="39" sheetId="51" r:id="rId42"/>
    <sheet name="40" sheetId="52" r:id="rId43"/>
    <sheet name="41" sheetId="53" r:id="rId44"/>
    <sheet name="42" sheetId="54" r:id="rId45"/>
    <sheet name="43" sheetId="62" r:id="rId46"/>
    <sheet name="44" sheetId="63" r:id="rId47"/>
    <sheet name="45" sheetId="64" r:id="rId48"/>
    <sheet name="46" sheetId="67" r:id="rId49"/>
    <sheet name="47" sheetId="68" r:id="rId50"/>
    <sheet name="EU INS1" sheetId="4" r:id="rId51"/>
    <sheet name="EU INS2" sheetId="5" r:id="rId52"/>
    <sheet name="Skema EU PV1" sheetId="9" r:id="rId53"/>
    <sheet name="EU CCyB1" sheetId="12" r:id="rId54"/>
    <sheet name="Skema EU CR2a" sheetId="22" r:id="rId55"/>
    <sheet name="Skema EU CQ2" sheetId="24" r:id="rId56"/>
    <sheet name="Skema EU CQ4" sheetId="26" r:id="rId57"/>
    <sheet name="Skema EU CQ6" sheetId="28" r:id="rId58"/>
    <sheet name="Skema EU CQ8" sheetId="30" r:id="rId59"/>
    <sheet name="EU CR6" sheetId="34" r:id="rId60"/>
    <sheet name="EU CR6-A" sheetId="35" r:id="rId61"/>
    <sheet name="EU CR7" sheetId="36" r:id="rId62"/>
    <sheet name="EU CR7-A" sheetId="37" r:id="rId63"/>
    <sheet name="EU CR8" sheetId="38" r:id="rId64"/>
    <sheet name="EU CR9" sheetId="39" r:id="rId65"/>
    <sheet name="EU CR9.1" sheetId="40" r:id="rId66"/>
    <sheet name="EU CR10 " sheetId="41" r:id="rId67"/>
    <sheet name="Skema EU CCR4" sheetId="45" r:id="rId68"/>
    <sheet name="Skema EU CCR7" sheetId="48" r:id="rId69"/>
    <sheet name="EU MR2-A" sheetId="56" r:id="rId70"/>
    <sheet name="EU MR2-B" sheetId="57" r:id="rId71"/>
    <sheet name="EU MR3" sheetId="58" r:id="rId72"/>
    <sheet name="EU MR4" sheetId="59" r:id="rId73"/>
  </sheets>
  <externalReferences>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s>
  <definedNames>
    <definedName name="_xlnm._FilterDatabase" localSheetId="33" hidden="1">'31'!$A$3:$E$51</definedName>
    <definedName name="_ftn1" localSheetId="27">'25'!$H$16</definedName>
    <definedName name="_ftnref1" localSheetId="27">'25'!$H$13</definedName>
    <definedName name="_ftnref1_50" localSheetId="34">'[1]Table 39_'!#REF!</definedName>
    <definedName name="_ftnref1_50">'[1]Table 39_'!#REF!</definedName>
    <definedName name="_ftnref1_50_10" localSheetId="34">'[2]Table 39_'!#REF!</definedName>
    <definedName name="_ftnref1_50_10">'[2]Table 39_'!#REF!</definedName>
    <definedName name="_ftnref1_50_15" localSheetId="34">'[2]Table 39_'!#REF!</definedName>
    <definedName name="_ftnref1_50_15">'[2]Table 39_'!#REF!</definedName>
    <definedName name="_ftnref1_50_18" localSheetId="34">'[2]Table 39_'!#REF!</definedName>
    <definedName name="_ftnref1_50_18">'[2]Table 39_'!#REF!</definedName>
    <definedName name="_ftnref1_50_19" localSheetId="34">'[2]Table 39_'!#REF!</definedName>
    <definedName name="_ftnref1_50_19">'[2]Table 39_'!#REF!</definedName>
    <definedName name="_ftnref1_50_20" localSheetId="34">'[2]Table 39_'!#REF!</definedName>
    <definedName name="_ftnref1_50_20">'[2]Table 39_'!#REF!</definedName>
    <definedName name="_ftnref1_50_21" localSheetId="34">'[2]Table 39_'!#REF!</definedName>
    <definedName name="_ftnref1_50_21">'[2]Table 39_'!#REF!</definedName>
    <definedName name="_ftnref1_50_23" localSheetId="34">'[2]Table 39_'!#REF!</definedName>
    <definedName name="_ftnref1_50_23">'[2]Table 39_'!#REF!</definedName>
    <definedName name="_ftnref1_50_24" localSheetId="34">'[2]Table 39_'!#REF!</definedName>
    <definedName name="_ftnref1_50_24">'[2]Table 39_'!#REF!</definedName>
    <definedName name="_ftnref1_50_4" localSheetId="34">'[2]Table 39_'!#REF!</definedName>
    <definedName name="_ftnref1_50_4">'[2]Table 39_'!#REF!</definedName>
    <definedName name="_ftnref1_50_5" localSheetId="34">'[2]Table 39_'!#REF!</definedName>
    <definedName name="_ftnref1_50_5">'[2]Table 39_'!#REF!</definedName>
    <definedName name="_ftnref1_51" localSheetId="34">'[1]Table 39_'!#REF!</definedName>
    <definedName name="_ftnref1_51">'[1]Table 39_'!#REF!</definedName>
    <definedName name="_ftnref1_51_10" localSheetId="34">'[2]Table 39_'!#REF!</definedName>
    <definedName name="_ftnref1_51_10">'[2]Table 39_'!#REF!</definedName>
    <definedName name="_ftnref1_51_15" localSheetId="34">'[2]Table 39_'!#REF!</definedName>
    <definedName name="_ftnref1_51_15">'[2]Table 39_'!#REF!</definedName>
    <definedName name="_ftnref1_51_18" localSheetId="34">'[2]Table 39_'!#REF!</definedName>
    <definedName name="_ftnref1_51_18">'[2]Table 39_'!#REF!</definedName>
    <definedName name="_ftnref1_51_19" localSheetId="34">'[2]Table 39_'!#REF!</definedName>
    <definedName name="_ftnref1_51_19">'[2]Table 39_'!#REF!</definedName>
    <definedName name="_ftnref1_51_20" localSheetId="34">'[2]Table 39_'!#REF!</definedName>
    <definedName name="_ftnref1_51_20">'[2]Table 39_'!#REF!</definedName>
    <definedName name="_ftnref1_51_21" localSheetId="34">'[2]Table 39_'!#REF!</definedName>
    <definedName name="_ftnref1_51_21">'[2]Table 39_'!#REF!</definedName>
    <definedName name="_ftnref1_51_23" localSheetId="34">'[2]Table 39_'!#REF!</definedName>
    <definedName name="_ftnref1_51_23">'[2]Table 39_'!#REF!</definedName>
    <definedName name="_ftnref1_51_24" localSheetId="34">'[2]Table 39_'!#REF!</definedName>
    <definedName name="_ftnref1_51_24">'[2]Table 39_'!#REF!</definedName>
    <definedName name="_ftnref1_51_4" localSheetId="34">'[2]Table 39_'!#REF!</definedName>
    <definedName name="_ftnref1_51_4">'[2]Table 39_'!#REF!</definedName>
    <definedName name="_ftnref1_51_5" localSheetId="34">'[2]Table 39_'!#REF!</definedName>
    <definedName name="_ftnref1_51_5">'[2]Table 39_'!#REF!</definedName>
    <definedName name="_h" localSheetId="34">'[2]Table 39_'!#REF!</definedName>
    <definedName name="_h">'[2]Table 39_'!#REF!</definedName>
    <definedName name="_Toc483499698" localSheetId="5">'3'!$B$2</definedName>
    <definedName name="_Toc483499734" localSheetId="71">'EU MR3'!#REF!</definedName>
    <definedName name="_Toc483499735" localSheetId="72">'EU MR4'!#REF!</definedName>
    <definedName name="Accounting">[3]Parameters!$C$109:$C$112</definedName>
    <definedName name="ACCOUNTING_FRAMEWORK">#REF!</definedName>
    <definedName name="ACCOUNTING_MONTH">MOD(CALENDAR_MONTH+12-YEAR_END, 12)</definedName>
    <definedName name="AP">'[4]Lists-Aux'!$D:$D</definedName>
    <definedName name="App">[5]Lists!$A$27:$A$29</definedName>
    <definedName name="ASSET_ENCUMB">#REF!</definedName>
    <definedName name="AT">'[6]Lists-Aux'!$B:$B</definedName>
    <definedName name="AVA_CORE">#REF!</definedName>
    <definedName name="BankType">[3]Parameters!$C$113:$C$115</definedName>
    <definedName name="BAS">'[4]Lists-Aux'!$A:$A</definedName>
    <definedName name="Basel">[7]Parameters!$C$32:$C$33</definedName>
    <definedName name="Basel12">#REF!</definedName>
    <definedName name="BT">'[4]Lists-Aux'!$E:$E</definedName>
    <definedName name="CALENDAR_MONTH">MONTH(DATEVALUE(#REF! &amp; " 1"))</definedName>
    <definedName name="Carlos" localSheetId="34">#REF!</definedName>
    <definedName name="Carlos">#REF!</definedName>
    <definedName name="CCR_FULL">#REF!</definedName>
    <definedName name="CCR_IMM">#REF!</definedName>
    <definedName name="CCR_OEM">#REF!</definedName>
    <definedName name="CCR_SIMPLIFIED">#REF!</definedName>
    <definedName name="CCROTC">#REF!</definedName>
    <definedName name="CCRSFT">#REF!</definedName>
    <definedName name="COF">'[6]Lists-Aux'!$G:$G</definedName>
    <definedName name="COI">'[4]Lists-Aux'!$H:$H</definedName>
    <definedName name="CP">'[4]Lists-Aux'!$I:$I</definedName>
    <definedName name="CQS">'[4]Lists-Aux'!$J:$J</definedName>
    <definedName name="CREDRISK_IRB">#REF!</definedName>
    <definedName name="CREDRISK_IRBEQ_IM">#REF!</definedName>
    <definedName name="CREDRISK_IRBEQ_PDLGD">#REF!</definedName>
    <definedName name="CREDRISK_IRBEQ_SRW">#REF!</definedName>
    <definedName name="CREDRISK_SA">#REF!</definedName>
    <definedName name="CT">'[4]Lists-Aux'!$K:$K</definedName>
    <definedName name="dfd">[3]Parameters!#REF!</definedName>
    <definedName name="DimensionsNames">[6]Dimensions!$B$2:$B$79</definedName>
    <definedName name="dsa" localSheetId="34">#REF!</definedName>
    <definedName name="dsa">#REF!</definedName>
    <definedName name="edc">[8]Members!$D$3:E$2477</definedName>
    <definedName name="ER">'[4]Lists-Aux'!$N:$N</definedName>
    <definedName name="EXP_GOV">#REF!</definedName>
    <definedName name="fdsg" localSheetId="34">'[1]Table 39_'!#REF!</definedName>
    <definedName name="fdsg">'[1]Table 39_'!#REF!</definedName>
    <definedName name="FEE_COM_INCOME">#REF!</definedName>
    <definedName name="Frequency">[5]Lists!$A$21:$A$25</definedName>
    <definedName name="GA">'[4]Lists-Aux'!$P:$P</definedName>
    <definedName name="Group">[3]Parameters!$C$93:$C$94</definedName>
    <definedName name="Group2">[9]Parameters!$C$42:$C$43</definedName>
    <definedName name="GSII">#REF!</definedName>
    <definedName name="ho" localSheetId="34">#REF!</definedName>
    <definedName name="ho">#REF!</definedName>
    <definedName name="IM">'[4]Lists-Aux'!$Q:$Q</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SSUE_BONDS">#REF!</definedName>
    <definedName name="JedenRadekPodSestavou" localSheetId="34">#REF!</definedName>
    <definedName name="JedenRadekPodSestavou">#REF!</definedName>
    <definedName name="JedenRadekPodSestavou_11" localSheetId="34">#REF!</definedName>
    <definedName name="JedenRadekPodSestavou_11">#REF!</definedName>
    <definedName name="JedenRadekPodSestavou_2" localSheetId="34">#REF!</definedName>
    <definedName name="JedenRadekPodSestavou_2">#REF!</definedName>
    <definedName name="JedenRadekPodSestavou_28" localSheetId="34">#REF!</definedName>
    <definedName name="JedenRadekPodSestavou_28">#REF!</definedName>
    <definedName name="JedenRadekVedleSestavy" localSheetId="34">#REF!</definedName>
    <definedName name="JedenRadekVedleSestavy">#REF!</definedName>
    <definedName name="JedenRadekVedleSestavy_11" localSheetId="34">#REF!</definedName>
    <definedName name="JedenRadekVedleSestavy_11">#REF!</definedName>
    <definedName name="JedenRadekVedleSestavy_2" localSheetId="34">#REF!</definedName>
    <definedName name="JedenRadekVedleSestavy_2">#REF!</definedName>
    <definedName name="JedenRadekVedleSestavy_28" localSheetId="34">#REF!</definedName>
    <definedName name="JedenRadekVedleSestavy_28">#REF!</definedName>
    <definedName name="kk">'[10]List details'!$C$5:$C$8</definedName>
    <definedName name="LARGE_GSII_OR_LISTED">AND(SNCI="LARGE", OR(GSII="Y", LISTED="Y"))</definedName>
    <definedName name="LARGE_OR_REGULAR_LISTED">OR(SNCI="LARGE", AND(SNCI&lt;&gt;"SMALL", LISTED="Y"))</definedName>
    <definedName name="LISTED">#REF!</definedName>
    <definedName name="ll">'[10]List details'!$C$5:$C$8</definedName>
    <definedName name="MARKRISK_IM">#REF!</definedName>
    <definedName name="MARKRISK_IM_CT">#REF!</definedName>
    <definedName name="MARKRISK_IM_IRC">#REF!</definedName>
    <definedName name="MARKRISK_SA">#REF!</definedName>
    <definedName name="MaxOblastTabulky" localSheetId="34">#REF!</definedName>
    <definedName name="MaxOblastTabulky">#REF!</definedName>
    <definedName name="MaxOblastTabulky_11" localSheetId="34">#REF!</definedName>
    <definedName name="MaxOblastTabulky_11">#REF!</definedName>
    <definedName name="MaxOblastTabulky_2" localSheetId="34">#REF!</definedName>
    <definedName name="MaxOblastTabulky_2">#REF!</definedName>
    <definedName name="MaxOblastTabulky_28" localSheetId="34">#REF!</definedName>
    <definedName name="MaxOblastTabulky_28">#REF!</definedName>
    <definedName name="MC">'[6]Lists-Aux'!$C:$C</definedName>
    <definedName name="Members">[6]Members!$D$3:E$2992</definedName>
    <definedName name="MemberStatereporting">[11]Lists!$B$2:$B$29</definedName>
    <definedName name="NON_DOMESTIC_EXP">#REF!</definedName>
    <definedName name="NPL_RATIO">#REF!</definedName>
    <definedName name="NSFR_METHODOLOGY">#REF!</definedName>
    <definedName name="OblastDat2" localSheetId="34">#REF!</definedName>
    <definedName name="OblastDat2">#REF!</definedName>
    <definedName name="OblastDat2_11" localSheetId="34">#REF!</definedName>
    <definedName name="OblastDat2_11">#REF!</definedName>
    <definedName name="OblastDat2_2" localSheetId="34">#REF!</definedName>
    <definedName name="OblastDat2_2">#REF!</definedName>
    <definedName name="OblastDat2_28" localSheetId="34">#REF!</definedName>
    <definedName name="OblastDat2_28">#REF!</definedName>
    <definedName name="OblastNadpisuRadku" localSheetId="34">#REF!</definedName>
    <definedName name="OblastNadpisuRadku">#REF!</definedName>
    <definedName name="OblastNadpisuRadku_11" localSheetId="34">#REF!</definedName>
    <definedName name="OblastNadpisuRadku_11">#REF!</definedName>
    <definedName name="OblastNadpisuRadku_2" localSheetId="34">#REF!</definedName>
    <definedName name="OblastNadpisuRadku_2">#REF!</definedName>
    <definedName name="OblastNadpisuRadku_28" localSheetId="34">#REF!</definedName>
    <definedName name="OblastNadpisuRadku_28">#REF!</definedName>
    <definedName name="OblastNadpisuSloupcu" localSheetId="34">#REF!</definedName>
    <definedName name="OblastNadpisuSloupcu">#REF!</definedName>
    <definedName name="OblastNadpisuSloupcu_11" localSheetId="34">#REF!</definedName>
    <definedName name="OblastNadpisuSloupcu_11">#REF!</definedName>
    <definedName name="OblastNadpisuSloupcu_2" localSheetId="34">#REF!</definedName>
    <definedName name="OblastNadpisuSloupcu_2">#REF!</definedName>
    <definedName name="OblastNadpisuSloupcu_28" localSheetId="34">#REF!</definedName>
    <definedName name="OblastNadpisuSloupcu_28">#REF!</definedName>
    <definedName name="OpRisk">#REF!</definedName>
    <definedName name="OPRISK_AMA">#REF!</definedName>
    <definedName name="OPRISK_ASA">#REF!</definedName>
    <definedName name="OPRISK_TSA">#REF!</definedName>
    <definedName name="PCT">'[4]Lists-Aux'!$U:$U</definedName>
    <definedName name="PI">'[4]Lists-Aux'!$V:$V</definedName>
    <definedName name="PL">'[4]Lists-Aux'!$W:$W</definedName>
    <definedName name="PR">'[4]Lists-Aux'!$X:$X</definedName>
    <definedName name="Print_Area" localSheetId="0">Indledning!$A$1:$G$22</definedName>
    <definedName name="Print_Area_MI" localSheetId="34">#REF!</definedName>
    <definedName name="Print_Area_MI">#REF!</definedName>
    <definedName name="Print_Area_MI_11" localSheetId="34">#REF!</definedName>
    <definedName name="Print_Area_MI_11">#REF!</definedName>
    <definedName name="Print_Area_MI_2" localSheetId="34">#REF!</definedName>
    <definedName name="Print_Area_MI_2">#REF!</definedName>
    <definedName name="Print_Area_MI_28" localSheetId="34">#REF!</definedName>
    <definedName name="Print_Area_MI_28">#REF!</definedName>
    <definedName name="Print_Titles_MI" localSheetId="34">#REF!</definedName>
    <definedName name="Print_Titles_MI">#REF!</definedName>
    <definedName name="Print_Titles_MI_11" localSheetId="34">#REF!</definedName>
    <definedName name="Print_Titles_MI_11">#REF!</definedName>
    <definedName name="Print_Titles_MI_2" localSheetId="34">#REF!</definedName>
    <definedName name="Print_Titles_MI_2">#REF!</definedName>
    <definedName name="Print_Titles_MI_28" localSheetId="34">#REF!</definedName>
    <definedName name="Print_Titles_MI_28">#REF!</definedName>
    <definedName name="rfgf" localSheetId="34">'[1]Table 39_'!#REF!</definedName>
    <definedName name="rfgf">'[1]Table 39_'!#REF!</definedName>
    <definedName name="RP">'[4]Lists-Aux'!$Z:$Z</definedName>
    <definedName name="rrr">[8]Members!$D$3:E$2477</definedName>
    <definedName name="RSP">'[4]Lists-Aux'!$AA:$AA</definedName>
    <definedName name="RT">'[4]Lists-Aux'!$AB:$AB</definedName>
    <definedName name="RTT">'[4]Lists-Aux'!$AC:$AC</definedName>
    <definedName name="SNCI">#REF!</definedName>
    <definedName name="ST">'[4]Lists-Aux'!$AD:$AD</definedName>
    <definedName name="TA">'[6]Lists-Aux'!$AE:$AE</definedName>
    <definedName name="TANG_ASSETS">#REF!</definedName>
    <definedName name="TD">'[4]Lists-Aux'!$AI:$AI</definedName>
    <definedName name="TI">'[4]Lists-Aux'!$AF:$AF</definedName>
    <definedName name="TOT_EXP">#REF!</definedName>
    <definedName name="TRADING_BOOK">#REF!</definedName>
    <definedName name="TYPE">#REF!</definedName>
    <definedName name="_xlnm.Print_Area" localSheetId="12">'10'!$B$2:$D$18</definedName>
    <definedName name="_xlnm.Print_Area" localSheetId="22">'20'!$B$1:$K$19</definedName>
    <definedName name="_xlnm.Print_Area" localSheetId="5">'3'!$B$2:$J$38</definedName>
    <definedName name="_xlnm.Print_Area" localSheetId="32">'30'!$B$2:$D$22</definedName>
    <definedName name="_xlnm.Print_Area" localSheetId="33">'31'!$B$2:$E$50</definedName>
    <definedName name="_xlnm.Print_Area" localSheetId="34">'32'!$B$2:$J$16</definedName>
    <definedName name="_xlnm.Print_Area" localSheetId="44">'42'!$B$2:$F$20</definedName>
    <definedName name="_xlnm.Print_Area" localSheetId="8">'6'!$B$6:$E$127</definedName>
    <definedName name="_xlnm.Print_Area" localSheetId="10">'8'!$B$2:$D$21</definedName>
    <definedName name="_xlnm.Print_Area" localSheetId="11">'9'!$B$2:$E$73</definedName>
    <definedName name="_xlnm.Print_Area" localSheetId="60">'EU CR6-A'!$A$2:$J$24</definedName>
    <definedName name="_xlnm.Print_Area" localSheetId="61">'EU CR7'!$B$2:$H$27</definedName>
    <definedName name="_xlnm.Print_Area" localSheetId="64">'EU CR9'!$B$4:$J$51</definedName>
    <definedName name="_xlnm.Print_Area" localSheetId="65">'EU CR9.1'!$B$2:$I$30</definedName>
    <definedName name="_xlnm.Print_Titles" localSheetId="33">'31'!$4:$5</definedName>
    <definedName name="_xlnm.Print_Titles" localSheetId="8">'6'!$6:$6</definedName>
    <definedName name="UES">'[4]Lists-Aux'!$AG:$AG</definedName>
    <definedName name="Valid1" localSheetId="34">#REF!</definedName>
    <definedName name="Valid1">#REF!</definedName>
    <definedName name="Valid2" localSheetId="34">#REF!</definedName>
    <definedName name="Valid2">#REF!</definedName>
    <definedName name="Valid3" localSheetId="34">#REF!</definedName>
    <definedName name="Valid3">#REF!</definedName>
    <definedName name="Valid4" localSheetId="34">#REF!</definedName>
    <definedName name="Valid4">#REF!</definedName>
    <definedName name="Valid5" localSheetId="34">#REF!</definedName>
    <definedName name="Valid5">#REF!</definedName>
    <definedName name="XBRL">[5]Lists!$A$17:$A$19</definedName>
    <definedName name="XX">[4]Dimensions!$B$2:$B$78</definedName>
    <definedName name="YEAR_END">#REF!</definedName>
    <definedName name="YesNo">[3]Parameters!$C$90:$C$91</definedName>
    <definedName name="YesNoBasel2">[3]Parameters!#REF!</definedName>
    <definedName name="YesNoNA">#REF!</definedName>
    <definedName name="zxasdafsds" localSheetId="34">#REF!</definedName>
    <definedName name="zxasdafsd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4" i="66" l="1"/>
  <c r="J14" i="66"/>
  <c r="K9" i="66"/>
  <c r="K10" i="66"/>
  <c r="J10" i="66"/>
  <c r="J9" i="66"/>
  <c r="I14" i="66"/>
  <c r="I10" i="66"/>
  <c r="I9" i="66"/>
  <c r="I8" i="66"/>
  <c r="H8" i="66"/>
  <c r="H16" i="66"/>
  <c r="H14" i="66"/>
  <c r="H10" i="66"/>
  <c r="H9" i="66"/>
  <c r="H28" i="27" l="1"/>
  <c r="H27" i="27"/>
  <c r="H26" i="27"/>
  <c r="H23" i="27"/>
  <c r="H22" i="27"/>
  <c r="H21" i="27"/>
  <c r="H20" i="27"/>
  <c r="H19" i="27"/>
  <c r="H18" i="27"/>
  <c r="H17" i="27"/>
  <c r="H16" i="27"/>
  <c r="H15" i="27"/>
  <c r="H14" i="27"/>
  <c r="H13" i="27"/>
  <c r="H12" i="27"/>
  <c r="H10" i="27"/>
  <c r="F28" i="27"/>
  <c r="F27" i="27"/>
  <c r="F22" i="27"/>
  <c r="F21" i="27"/>
  <c r="F19" i="27"/>
  <c r="F18" i="27"/>
  <c r="F16" i="27"/>
  <c r="F15" i="27"/>
  <c r="F14" i="27"/>
  <c r="F12" i="27"/>
  <c r="F10" i="27"/>
  <c r="E28" i="27"/>
  <c r="E27" i="27"/>
  <c r="E22" i="27"/>
  <c r="E21" i="27"/>
  <c r="E19" i="27"/>
  <c r="E18" i="27"/>
  <c r="E16" i="27"/>
  <c r="E15" i="27"/>
  <c r="E14" i="27"/>
  <c r="E12" i="27"/>
  <c r="G28" i="27"/>
  <c r="G27" i="27"/>
  <c r="G26" i="27"/>
  <c r="G25" i="27"/>
  <c r="G23" i="27"/>
  <c r="G22" i="27"/>
  <c r="G21" i="27"/>
  <c r="G20" i="27"/>
  <c r="G19" i="27"/>
  <c r="G18" i="27"/>
  <c r="G17" i="27"/>
  <c r="G16" i="27"/>
  <c r="G15" i="27"/>
  <c r="G14" i="27"/>
  <c r="G13" i="27"/>
  <c r="G12" i="27"/>
  <c r="G10" i="27"/>
  <c r="D28" i="27"/>
  <c r="D27" i="27"/>
  <c r="D26" i="27"/>
  <c r="D25" i="27"/>
  <c r="D23" i="27"/>
  <c r="D22" i="27"/>
  <c r="D21" i="27"/>
  <c r="D20" i="27"/>
  <c r="D19" i="27"/>
  <c r="D18" i="27"/>
  <c r="D17" i="27"/>
  <c r="D16" i="27"/>
  <c r="D15" i="27"/>
  <c r="D14" i="27"/>
  <c r="D13" i="27"/>
  <c r="D12" i="27"/>
  <c r="E10" i="27"/>
  <c r="D10" i="27"/>
  <c r="G32" i="25"/>
  <c r="D32" i="25"/>
  <c r="G31" i="25"/>
  <c r="D31" i="25"/>
  <c r="G30" i="25"/>
  <c r="D30" i="25"/>
  <c r="D29" i="25"/>
  <c r="D28" i="25"/>
  <c r="G26" i="25"/>
  <c r="D26" i="25"/>
  <c r="O19" i="25"/>
  <c r="L19" i="25"/>
  <c r="K19" i="25"/>
  <c r="J19" i="25"/>
  <c r="I19" i="25"/>
  <c r="H19" i="25"/>
  <c r="G19" i="25"/>
  <c r="F19" i="25"/>
  <c r="E19" i="25"/>
  <c r="D19" i="25"/>
  <c r="H18" i="25"/>
  <c r="G18" i="25"/>
  <c r="F18" i="25"/>
  <c r="E18" i="25"/>
  <c r="D18" i="25"/>
  <c r="H17" i="25"/>
  <c r="G17" i="25"/>
  <c r="F17" i="25"/>
  <c r="E17" i="25"/>
  <c r="D17" i="25"/>
  <c r="O16" i="25"/>
  <c r="H16" i="25"/>
  <c r="G16" i="25"/>
  <c r="E16" i="25"/>
  <c r="D16" i="25"/>
  <c r="E14" i="25"/>
  <c r="O12" i="25"/>
  <c r="L12" i="25"/>
  <c r="K12" i="25"/>
  <c r="J12" i="25"/>
  <c r="I12" i="25"/>
  <c r="H12" i="25"/>
  <c r="G12" i="25"/>
  <c r="F12" i="25"/>
  <c r="E12" i="25"/>
  <c r="D12" i="25"/>
  <c r="E11" i="25"/>
  <c r="D11" i="25"/>
  <c r="I16" i="23"/>
  <c r="G16" i="23"/>
  <c r="F16" i="23"/>
  <c r="E16" i="23"/>
  <c r="I15" i="23"/>
  <c r="G15" i="23"/>
  <c r="F15" i="23"/>
  <c r="E15" i="23"/>
  <c r="I10" i="23"/>
  <c r="G10" i="23"/>
  <c r="F10" i="23"/>
  <c r="E10" i="23"/>
  <c r="O30" i="19" l="1"/>
  <c r="M30" i="19"/>
  <c r="L30" i="19"/>
  <c r="K30" i="19"/>
  <c r="J30" i="19"/>
  <c r="I30" i="19"/>
  <c r="G30" i="19"/>
  <c r="F30" i="19"/>
  <c r="E30" i="19"/>
  <c r="D30" i="19"/>
  <c r="O29" i="19"/>
  <c r="M29" i="19"/>
  <c r="L29" i="19"/>
  <c r="K29" i="19"/>
  <c r="J29" i="19"/>
  <c r="I29" i="19"/>
  <c r="G29" i="19"/>
  <c r="F29" i="19"/>
  <c r="E29" i="19"/>
  <c r="D29" i="19"/>
  <c r="L28" i="19"/>
  <c r="K28" i="19"/>
  <c r="J28" i="19"/>
  <c r="F28" i="19"/>
  <c r="E28" i="19"/>
  <c r="D28" i="19"/>
  <c r="K27" i="19"/>
  <c r="J27" i="19"/>
  <c r="E27" i="19"/>
  <c r="D27" i="19"/>
  <c r="L26" i="19"/>
  <c r="K26" i="19"/>
  <c r="J26" i="19"/>
  <c r="F26" i="19"/>
  <c r="E26" i="19"/>
  <c r="D26" i="19"/>
  <c r="O24" i="19"/>
  <c r="M24" i="19"/>
  <c r="L24" i="19"/>
  <c r="K24" i="19"/>
  <c r="J24" i="19"/>
  <c r="I24" i="19"/>
  <c r="G24" i="19"/>
  <c r="F24" i="19"/>
  <c r="E24" i="19"/>
  <c r="D24" i="19"/>
  <c r="O17" i="19"/>
  <c r="M17" i="19"/>
  <c r="L17" i="19"/>
  <c r="K17" i="19"/>
  <c r="J17" i="19"/>
  <c r="I17" i="19"/>
  <c r="G17" i="19"/>
  <c r="F17" i="19"/>
  <c r="E17" i="19"/>
  <c r="D17" i="19"/>
  <c r="O16" i="19"/>
  <c r="M16" i="19"/>
  <c r="L16" i="19"/>
  <c r="K16" i="19"/>
  <c r="J16" i="19"/>
  <c r="I16" i="19"/>
  <c r="G16" i="19"/>
  <c r="F16" i="19"/>
  <c r="E16" i="19"/>
  <c r="D16" i="19"/>
  <c r="O15" i="19"/>
  <c r="M15" i="19"/>
  <c r="L15" i="19"/>
  <c r="K15" i="19"/>
  <c r="J15" i="19"/>
  <c r="I15" i="19"/>
  <c r="G15" i="19"/>
  <c r="F15" i="19"/>
  <c r="E15" i="19"/>
  <c r="D15" i="19"/>
  <c r="O14" i="19"/>
  <c r="M14" i="19"/>
  <c r="L14" i="19"/>
  <c r="K14" i="19"/>
  <c r="J14" i="19"/>
  <c r="I14" i="19"/>
  <c r="G14" i="19"/>
  <c r="F14" i="19"/>
  <c r="E14" i="19"/>
  <c r="D14" i="19"/>
  <c r="D10" i="19"/>
  <c r="O10" i="19"/>
  <c r="M10" i="19"/>
  <c r="L10" i="19"/>
  <c r="K10" i="19"/>
  <c r="J10" i="19"/>
  <c r="I10" i="19"/>
  <c r="G10" i="19"/>
  <c r="F10" i="19"/>
  <c r="E10" i="19"/>
  <c r="E9" i="19"/>
  <c r="D9" i="19"/>
  <c r="J16" i="75"/>
  <c r="J11" i="75"/>
  <c r="D16" i="75"/>
  <c r="D11" i="75"/>
  <c r="D37" i="74"/>
  <c r="D36" i="74"/>
  <c r="D34" i="74"/>
  <c r="D33" i="74"/>
  <c r="D29" i="74"/>
  <c r="D15" i="74"/>
  <c r="D7" i="74"/>
  <c r="D12" i="73"/>
  <c r="D9" i="73"/>
  <c r="D8" i="73"/>
  <c r="D7" i="73"/>
  <c r="K8" i="60" l="1"/>
  <c r="J8" i="60"/>
  <c r="F8" i="60"/>
  <c r="E8" i="60"/>
  <c r="D8" i="60"/>
  <c r="D9" i="55"/>
  <c r="D10" i="55"/>
  <c r="D8" i="55"/>
  <c r="K15" i="44"/>
  <c r="I13" i="44"/>
  <c r="H13" i="44"/>
  <c r="E13" i="43"/>
  <c r="D13" i="43"/>
  <c r="E11" i="43"/>
  <c r="D11" i="43"/>
  <c r="T13" i="33"/>
  <c r="M23" i="33" l="1"/>
  <c r="D23" i="33"/>
  <c r="O22" i="33"/>
  <c r="M22" i="33"/>
  <c r="N18" i="33"/>
  <c r="N17" i="33"/>
  <c r="M17" i="33"/>
  <c r="J16" i="33"/>
  <c r="I16" i="33"/>
  <c r="L15" i="33"/>
  <c r="M14" i="33"/>
  <c r="J13" i="33"/>
  <c r="H13" i="33"/>
  <c r="D9" i="33"/>
  <c r="D8" i="33"/>
  <c r="H23" i="32"/>
  <c r="F23" i="32"/>
  <c r="D23" i="32"/>
  <c r="H22" i="32"/>
  <c r="F22" i="32"/>
  <c r="D22" i="32"/>
  <c r="H18" i="32"/>
  <c r="F18" i="32"/>
  <c r="E18" i="32"/>
  <c r="D18" i="32"/>
  <c r="H17" i="32"/>
  <c r="G17" i="32"/>
  <c r="F17" i="32"/>
  <c r="E17" i="32"/>
  <c r="D17" i="32"/>
  <c r="H16" i="32"/>
  <c r="G16" i="32"/>
  <c r="F16" i="32"/>
  <c r="E16" i="32"/>
  <c r="D16" i="32"/>
  <c r="H15" i="32"/>
  <c r="G15" i="32"/>
  <c r="F15" i="32"/>
  <c r="E15" i="32"/>
  <c r="D15" i="32"/>
  <c r="H14" i="32"/>
  <c r="G14" i="32"/>
  <c r="F14" i="32"/>
  <c r="E14" i="32"/>
  <c r="D14" i="32"/>
  <c r="H13" i="32"/>
  <c r="G13" i="32"/>
  <c r="F13" i="32"/>
  <c r="E13" i="32"/>
  <c r="D13" i="32"/>
  <c r="F9" i="32"/>
  <c r="E9" i="32"/>
  <c r="D9" i="32"/>
  <c r="G8" i="32"/>
  <c r="F8" i="32"/>
  <c r="D8" i="32"/>
  <c r="E8" i="20" l="1"/>
  <c r="D9" i="13" l="1"/>
  <c r="D7" i="13" l="1"/>
  <c r="H34" i="18" l="1"/>
  <c r="H43" i="18"/>
  <c r="H42" i="18"/>
  <c r="E42" i="18"/>
  <c r="H41" i="18"/>
  <c r="G41" i="18"/>
  <c r="F41" i="18"/>
  <c r="E41" i="18"/>
  <c r="E40" i="18"/>
  <c r="H39" i="18"/>
  <c r="E39" i="18"/>
  <c r="G34" i="18"/>
  <c r="F34" i="18"/>
  <c r="E34" i="18"/>
  <c r="G33" i="18"/>
  <c r="F33" i="18"/>
  <c r="E33" i="18"/>
  <c r="G32" i="18"/>
  <c r="F32" i="18"/>
  <c r="E32" i="18"/>
  <c r="H31" i="18"/>
  <c r="G31" i="18"/>
  <c r="F31" i="18"/>
  <c r="E31" i="18"/>
  <c r="H30" i="18"/>
  <c r="G30" i="18"/>
  <c r="F30" i="18"/>
  <c r="E30" i="18"/>
  <c r="H29" i="18"/>
  <c r="G29" i="18"/>
  <c r="E29" i="18"/>
  <c r="H27" i="18"/>
  <c r="G27" i="18"/>
  <c r="F27" i="18"/>
  <c r="E27" i="18"/>
  <c r="H24" i="18"/>
  <c r="H22" i="18" l="1"/>
  <c r="E19" i="18" l="1"/>
  <c r="H17" i="18"/>
  <c r="F17" i="18"/>
  <c r="E17" i="18"/>
  <c r="H14" i="18"/>
  <c r="H13" i="18"/>
  <c r="F14" i="18"/>
  <c r="E14" i="18"/>
  <c r="F13" i="18"/>
  <c r="E13" i="18"/>
  <c r="D9" i="18"/>
  <c r="K44" i="17"/>
  <c r="K43" i="17"/>
  <c r="K30" i="17"/>
  <c r="G30" i="17"/>
  <c r="K29" i="17"/>
  <c r="G29" i="17"/>
  <c r="K26" i="17"/>
  <c r="K24" i="17"/>
  <c r="G24" i="17"/>
  <c r="K23" i="17"/>
  <c r="G23" i="17"/>
  <c r="K21" i="17"/>
  <c r="G21" i="17"/>
  <c r="K20" i="17"/>
  <c r="G20" i="17"/>
  <c r="K17" i="17"/>
  <c r="G17" i="17"/>
  <c r="K15" i="17"/>
  <c r="G15" i="17"/>
  <c r="K14" i="17"/>
  <c r="G14" i="17"/>
  <c r="K13" i="17"/>
  <c r="G13" i="17"/>
  <c r="K12" i="17"/>
  <c r="G12" i="17"/>
  <c r="K10" i="17"/>
  <c r="I44" i="17"/>
  <c r="I43" i="17"/>
  <c r="J44" i="17"/>
  <c r="J43" i="17"/>
  <c r="J30" i="17"/>
  <c r="F30" i="17"/>
  <c r="J29" i="17"/>
  <c r="F29" i="17"/>
  <c r="J26" i="17"/>
  <c r="J24" i="17"/>
  <c r="F24" i="17"/>
  <c r="J23" i="17"/>
  <c r="F23" i="17"/>
  <c r="J20" i="17"/>
  <c r="F20" i="17"/>
  <c r="J17" i="17"/>
  <c r="F17" i="17"/>
  <c r="J15" i="17"/>
  <c r="F15" i="17"/>
  <c r="J14" i="17"/>
  <c r="F14" i="17"/>
  <c r="J13" i="17"/>
  <c r="F13" i="17"/>
  <c r="J12" i="17"/>
  <c r="F12" i="17"/>
  <c r="J10" i="17"/>
  <c r="I26" i="17"/>
  <c r="I30" i="17"/>
  <c r="E30" i="17"/>
  <c r="I29" i="17"/>
  <c r="E29" i="17"/>
  <c r="I24" i="17"/>
  <c r="E24" i="17"/>
  <c r="I23" i="17"/>
  <c r="E23" i="17"/>
  <c r="I21" i="17"/>
  <c r="E21" i="17"/>
  <c r="I20" i="17"/>
  <c r="E20" i="17"/>
  <c r="I17" i="17"/>
  <c r="E17" i="17"/>
  <c r="I15" i="17"/>
  <c r="E15" i="17"/>
  <c r="I14" i="17"/>
  <c r="E14" i="17"/>
  <c r="I13" i="17"/>
  <c r="E13" i="17"/>
  <c r="I12" i="17"/>
  <c r="E12" i="17"/>
  <c r="I10" i="17"/>
  <c r="D30" i="17"/>
  <c r="D29" i="17"/>
  <c r="D24" i="17"/>
  <c r="D23" i="17"/>
  <c r="D21" i="17"/>
  <c r="D20" i="17"/>
  <c r="D17" i="17"/>
  <c r="D15" i="17"/>
  <c r="D14" i="17"/>
  <c r="D13" i="17"/>
  <c r="D12" i="17"/>
  <c r="H44" i="17"/>
  <c r="H43" i="17"/>
  <c r="H30" i="17"/>
  <c r="H29" i="17"/>
  <c r="H26" i="17"/>
  <c r="H24" i="17"/>
  <c r="H23" i="17"/>
  <c r="H21" i="17"/>
  <c r="H20" i="17"/>
  <c r="H17" i="17"/>
  <c r="H15" i="17"/>
  <c r="H14" i="17"/>
  <c r="H13" i="17"/>
  <c r="H12" i="17"/>
  <c r="H10" i="17"/>
  <c r="D15" i="16"/>
  <c r="D16" i="14"/>
  <c r="D117" i="10" l="1"/>
  <c r="D113" i="10"/>
  <c r="D109" i="10"/>
  <c r="D102" i="10"/>
  <c r="D100" i="10"/>
  <c r="D99" i="10"/>
  <c r="D98" i="10"/>
  <c r="D92" i="10"/>
  <c r="D29" i="10"/>
  <c r="D48" i="10"/>
  <c r="D12" i="10"/>
  <c r="D47" i="10"/>
  <c r="D31" i="10"/>
  <c r="D20" i="10"/>
  <c r="D17" i="10"/>
  <c r="D38" i="11"/>
  <c r="D37" i="11"/>
  <c r="D13" i="10"/>
  <c r="B33" i="6" l="1"/>
  <c r="B34" i="6" s="1"/>
  <c r="B35" i="6" s="1"/>
  <c r="B36" i="6" s="1"/>
  <c r="B37" i="6" s="1"/>
  <c r="I14" i="6" l="1"/>
  <c r="D44" i="3" l="1"/>
  <c r="D45" i="3"/>
  <c r="D12" i="3" l="1"/>
  <c r="D8" i="3"/>
  <c r="E51" i="3"/>
  <c r="E45" i="3"/>
  <c r="E44" i="3"/>
  <c r="E46" i="3" s="1"/>
  <c r="E12" i="3"/>
  <c r="E8" i="3"/>
  <c r="E9" i="3" s="1"/>
  <c r="E10" i="3" s="1"/>
  <c r="F49" i="3" l="1"/>
  <c r="F51" i="3" s="1"/>
  <c r="F50" i="3"/>
  <c r="G51" i="3"/>
  <c r="H51" i="3"/>
  <c r="F44" i="3"/>
  <c r="F46" i="3" s="1"/>
  <c r="F45" i="3"/>
  <c r="G46" i="3"/>
  <c r="H46" i="3"/>
  <c r="F30" i="3"/>
  <c r="G30" i="3"/>
  <c r="H30" i="3"/>
  <c r="F31" i="3"/>
  <c r="G31" i="3"/>
  <c r="H31" i="3"/>
  <c r="F14" i="3"/>
  <c r="F15" i="3" s="1"/>
  <c r="F16" i="3" s="1"/>
  <c r="G14" i="3"/>
  <c r="H14" i="3"/>
  <c r="G15" i="3"/>
  <c r="H15" i="3"/>
  <c r="H16" i="3" s="1"/>
  <c r="G16" i="3"/>
  <c r="F12" i="3"/>
  <c r="G12" i="3"/>
  <c r="H12" i="3"/>
  <c r="F8" i="3"/>
  <c r="F9" i="3" s="1"/>
  <c r="F10" i="3" s="1"/>
  <c r="G8" i="3"/>
  <c r="H8" i="3"/>
  <c r="G9" i="3"/>
  <c r="G10" i="3" s="1"/>
  <c r="H9" i="3"/>
  <c r="H10" i="3" s="1"/>
  <c r="D35" i="2"/>
  <c r="D31" i="2"/>
  <c r="D14" i="2"/>
  <c r="D19" i="2" s="1"/>
  <c r="E19" i="2"/>
  <c r="D18" i="2"/>
  <c r="F20" i="2"/>
  <c r="D8" i="2"/>
  <c r="E35" i="2"/>
  <c r="E36" i="2" s="1"/>
  <c r="E31" i="2"/>
  <c r="E32" i="2" s="1"/>
  <c r="E18" i="2"/>
  <c r="E14" i="2"/>
  <c r="E8" i="2"/>
  <c r="E44" i="2" l="1"/>
  <c r="E9" i="2"/>
  <c r="D11" i="21"/>
  <c r="D42" i="74"/>
  <c r="D40" i="74"/>
  <c r="D41" i="74"/>
  <c r="D39" i="74" l="1"/>
  <c r="D14" i="73"/>
  <c r="D22" i="73" s="1"/>
  <c r="D13" i="73"/>
  <c r="D21" i="73" s="1"/>
  <c r="D11" i="73"/>
  <c r="D20" i="73" s="1"/>
  <c r="D10" i="73"/>
  <c r="D19" i="73" s="1"/>
  <c r="O18" i="25"/>
  <c r="O17" i="25"/>
  <c r="H15" i="18" l="1"/>
  <c r="H12" i="18"/>
  <c r="G15" i="18"/>
  <c r="F15" i="18"/>
  <c r="F12" i="18"/>
  <c r="E21" i="18"/>
  <c r="G12" i="18" l="1"/>
  <c r="D46" i="3" l="1"/>
  <c r="E69" i="15"/>
  <c r="E70" i="15" s="1"/>
  <c r="E64" i="15"/>
  <c r="E55" i="15"/>
  <c r="E54" i="15"/>
  <c r="E40" i="15"/>
  <c r="E38" i="15" s="1"/>
  <c r="E15" i="15"/>
  <c r="E31" i="3"/>
  <c r="E30" i="3"/>
  <c r="E14" i="3"/>
  <c r="E15" i="3" s="1"/>
  <c r="E16" i="3" s="1"/>
  <c r="E72" i="15" l="1"/>
  <c r="E71" i="15"/>
  <c r="E73" i="15" s="1"/>
  <c r="D31" i="19" l="1"/>
  <c r="D8" i="13" l="1"/>
  <c r="I9" i="32" l="1"/>
  <c r="I8" i="32"/>
  <c r="E15" i="18" l="1"/>
  <c r="E12" i="18"/>
  <c r="D36" i="11" l="1"/>
  <c r="D35" i="11"/>
  <c r="D34" i="11"/>
  <c r="D31" i="11"/>
  <c r="D30" i="11"/>
  <c r="D29" i="11"/>
  <c r="D28" i="11"/>
  <c r="D27" i="11"/>
  <c r="D26" i="11"/>
  <c r="D25" i="11"/>
  <c r="D22" i="11"/>
  <c r="D21" i="11"/>
  <c r="D20" i="11"/>
  <c r="B20" i="11"/>
  <c r="B21" i="11" s="1"/>
  <c r="B22" i="11" s="1"/>
  <c r="D19" i="11"/>
  <c r="D18" i="11"/>
  <c r="D17" i="11"/>
  <c r="D16" i="11"/>
  <c r="D15" i="11"/>
  <c r="D14" i="11"/>
  <c r="D13" i="11"/>
  <c r="D12" i="11"/>
  <c r="D11" i="11"/>
  <c r="D10" i="11"/>
  <c r="D9" i="11"/>
  <c r="J29" i="6"/>
  <c r="F20" i="6" l="1"/>
  <c r="D30" i="3" l="1"/>
  <c r="D9" i="2" l="1"/>
  <c r="D36" i="2"/>
  <c r="D32" i="2"/>
  <c r="D44" i="2" l="1"/>
  <c r="D51" i="3"/>
  <c r="D9" i="3"/>
  <c r="D10" i="3" s="1"/>
  <c r="F29" i="61"/>
  <c r="D41" i="11"/>
  <c r="D14" i="3" l="1"/>
  <c r="D15" i="3" s="1"/>
  <c r="D16" i="3" s="1"/>
  <c r="D31" i="3" s="1"/>
  <c r="D54" i="15"/>
  <c r="E11" i="7"/>
  <c r="F10" i="7"/>
  <c r="F19" i="7" s="1"/>
  <c r="H10" i="20" l="1"/>
  <c r="G10" i="20"/>
  <c r="F10" i="20"/>
  <c r="E10" i="20"/>
  <c r="D10" i="20"/>
  <c r="I8" i="20"/>
  <c r="I10" i="20" s="1"/>
  <c r="F21" i="6" l="1"/>
  <c r="F10" i="6" l="1"/>
  <c r="F12" i="6" l="1"/>
  <c r="H23" i="6"/>
  <c r="G23" i="6"/>
  <c r="G8" i="7" s="1"/>
  <c r="G10" i="7" s="1"/>
  <c r="G19" i="7" s="1"/>
  <c r="J37" i="6"/>
  <c r="J36" i="6"/>
  <c r="J35" i="6"/>
  <c r="J34" i="6"/>
  <c r="J33" i="6"/>
  <c r="J32" i="6"/>
  <c r="J31" i="6"/>
  <c r="J30" i="6"/>
  <c r="J28" i="6"/>
  <c r="J27" i="6"/>
  <c r="J26" i="6"/>
  <c r="F22" i="6"/>
  <c r="F15" i="6"/>
  <c r="F19" i="6"/>
  <c r="F18" i="6"/>
  <c r="F17" i="6"/>
  <c r="J16" i="6"/>
  <c r="I13" i="6"/>
  <c r="I23" i="6" s="1"/>
  <c r="H8" i="7" s="1"/>
  <c r="H10" i="7" s="1"/>
  <c r="H19" i="7" s="1"/>
  <c r="F11" i="6"/>
  <c r="F9" i="6"/>
  <c r="G29" i="27"/>
  <c r="D29" i="27"/>
  <c r="I29" i="27"/>
  <c r="K33" i="25"/>
  <c r="J33" i="25"/>
  <c r="I33" i="25"/>
  <c r="H33" i="25"/>
  <c r="G33" i="25"/>
  <c r="F33" i="25"/>
  <c r="O33" i="25"/>
  <c r="N33" i="25"/>
  <c r="M33" i="25"/>
  <c r="L33" i="25"/>
  <c r="E33" i="25"/>
  <c r="D33" i="25"/>
  <c r="I19" i="23"/>
  <c r="G19" i="23"/>
  <c r="E19" i="23"/>
  <c r="K19" i="23"/>
  <c r="J19" i="23"/>
  <c r="H19" i="23"/>
  <c r="F19" i="23"/>
  <c r="D19" i="23"/>
  <c r="R31" i="19"/>
  <c r="Q31" i="19"/>
  <c r="P31" i="19"/>
  <c r="O31" i="19"/>
  <c r="N31" i="19"/>
  <c r="M31" i="19"/>
  <c r="K31" i="19"/>
  <c r="L31" i="19"/>
  <c r="J31" i="19"/>
  <c r="H31" i="19"/>
  <c r="I31" i="19"/>
  <c r="G31" i="19"/>
  <c r="F31" i="19"/>
  <c r="E31" i="19"/>
  <c r="J38" i="6" l="1"/>
  <c r="H29" i="27"/>
  <c r="F29" i="27"/>
  <c r="E29" i="27"/>
  <c r="I29" i="61" l="1"/>
  <c r="H29" i="61"/>
  <c r="D17" i="55"/>
  <c r="N18" i="44"/>
  <c r="M18" i="44"/>
  <c r="J18" i="44"/>
  <c r="I18" i="44"/>
  <c r="H18" i="44"/>
  <c r="G18" i="44"/>
  <c r="F18" i="44"/>
  <c r="E18" i="44"/>
  <c r="D18" i="44"/>
  <c r="O17" i="44"/>
  <c r="O16" i="44"/>
  <c r="K18" i="44"/>
  <c r="O14" i="44"/>
  <c r="O13" i="44"/>
  <c r="O12" i="44"/>
  <c r="O11" i="44"/>
  <c r="O10" i="44"/>
  <c r="O9" i="44"/>
  <c r="O8" i="44"/>
  <c r="K17" i="42"/>
  <c r="J17" i="42"/>
  <c r="I17" i="42"/>
  <c r="H17" i="42"/>
  <c r="O15" i="44" l="1"/>
  <c r="O18" i="44" s="1"/>
  <c r="L18" i="44"/>
  <c r="R24" i="33"/>
  <c r="Q24" i="33"/>
  <c r="P24" i="33"/>
  <c r="K24" i="33"/>
  <c r="G24" i="33"/>
  <c r="F24" i="33"/>
  <c r="E24" i="33"/>
  <c r="S23" i="33"/>
  <c r="T23" i="33" s="1"/>
  <c r="O24" i="33"/>
  <c r="S22" i="33"/>
  <c r="T22" i="33" s="1"/>
  <c r="S21" i="33"/>
  <c r="T21" i="33" s="1"/>
  <c r="S20" i="33"/>
  <c r="T20" i="33" s="1"/>
  <c r="S19" i="33"/>
  <c r="T19" i="33" s="1"/>
  <c r="S18" i="33"/>
  <c r="T18" i="33" s="1"/>
  <c r="S17" i="33"/>
  <c r="T17" i="33" s="1"/>
  <c r="S16" i="33"/>
  <c r="T16" i="33" s="1"/>
  <c r="I24" i="33"/>
  <c r="L24" i="33"/>
  <c r="S14" i="33"/>
  <c r="T14" i="33" s="1"/>
  <c r="J24" i="33"/>
  <c r="H24" i="33"/>
  <c r="S12" i="33"/>
  <c r="T12" i="33" s="1"/>
  <c r="S11" i="33"/>
  <c r="T11" i="33" s="1"/>
  <c r="S10" i="33"/>
  <c r="T10" i="33" s="1"/>
  <c r="S9" i="33"/>
  <c r="T9" i="33" s="1"/>
  <c r="S8" i="33"/>
  <c r="T8" i="33" s="1"/>
  <c r="M24" i="33" l="1"/>
  <c r="N24" i="33"/>
  <c r="S15" i="33"/>
  <c r="T15" i="33" s="1"/>
  <c r="I17" i="32"/>
  <c r="I22" i="32"/>
  <c r="I14" i="32"/>
  <c r="F24" i="32"/>
  <c r="I16" i="32"/>
  <c r="H24" i="32"/>
  <c r="I15" i="32"/>
  <c r="I18" i="32"/>
  <c r="G24" i="32"/>
  <c r="E24" i="32"/>
  <c r="I23" i="32"/>
  <c r="D24" i="32"/>
  <c r="D24" i="33"/>
  <c r="S13" i="33"/>
  <c r="I13" i="32"/>
  <c r="H36" i="18"/>
  <c r="G36" i="18"/>
  <c r="F36" i="18"/>
  <c r="E36" i="18"/>
  <c r="H11" i="18"/>
  <c r="D10" i="18"/>
  <c r="H10" i="18" s="1"/>
  <c r="H9" i="18"/>
  <c r="H44" i="18" s="1"/>
  <c r="K45" i="17"/>
  <c r="J45" i="17"/>
  <c r="I45" i="17"/>
  <c r="H45" i="17"/>
  <c r="K35" i="17"/>
  <c r="K40" i="17" s="1"/>
  <c r="J35" i="17"/>
  <c r="J40" i="17" s="1"/>
  <c r="I35" i="17"/>
  <c r="I40" i="17" s="1"/>
  <c r="H35" i="17"/>
  <c r="H40" i="17" s="1"/>
  <c r="G35" i="17"/>
  <c r="G40" i="17" s="1"/>
  <c r="F35" i="17"/>
  <c r="F40" i="17" s="1"/>
  <c r="E35" i="17"/>
  <c r="E40" i="17" s="1"/>
  <c r="D35" i="17"/>
  <c r="D40" i="17" s="1"/>
  <c r="S24" i="33" l="1"/>
  <c r="T24" i="33"/>
  <c r="I24" i="32"/>
  <c r="D9" i="16"/>
  <c r="D7" i="16" s="1"/>
  <c r="D69" i="15"/>
  <c r="D64" i="15"/>
  <c r="E52" i="15"/>
  <c r="D52" i="15"/>
  <c r="D38" i="15"/>
  <c r="E35" i="15"/>
  <c r="D35" i="15"/>
  <c r="E27" i="15"/>
  <c r="D27" i="15"/>
  <c r="D32" i="11" l="1"/>
  <c r="D23" i="11"/>
  <c r="D7" i="14" s="1"/>
  <c r="D9" i="15" s="1"/>
  <c r="D15" i="15" s="1"/>
  <c r="D55" i="15" s="1"/>
  <c r="J14" i="6"/>
  <c r="D18" i="10"/>
  <c r="E58" i="15" l="1"/>
  <c r="D57" i="15"/>
  <c r="E59" i="15"/>
  <c r="D58" i="15"/>
  <c r="D70" i="15"/>
  <c r="D72" i="15" s="1"/>
  <c r="D59" i="15"/>
  <c r="D71" i="15"/>
  <c r="D73" i="15" s="1"/>
  <c r="E57" i="15"/>
  <c r="D21" i="14"/>
  <c r="F14" i="6"/>
  <c r="F23" i="6" s="1"/>
  <c r="E8" i="7" s="1"/>
  <c r="E10" i="7" s="1"/>
  <c r="E19" i="7" s="1"/>
  <c r="J23" i="6"/>
  <c r="D49" i="10"/>
  <c r="D70" i="10" l="1"/>
  <c r="D91" i="10" s="1"/>
  <c r="D94" i="10" s="1"/>
  <c r="D95" i="10" s="1"/>
  <c r="D96" i="10" s="1"/>
  <c r="D103" i="10" s="1"/>
  <c r="D38" i="6"/>
  <c r="B27" i="6"/>
  <c r="B28" i="6" s="1"/>
  <c r="D23" i="6"/>
  <c r="D8" i="7" s="1"/>
  <c r="D10" i="7" s="1"/>
  <c r="D19" i="7" s="1"/>
  <c r="B10" i="6"/>
  <c r="B11" i="6" s="1"/>
  <c r="B12" i="6" s="1"/>
  <c r="B13" i="6" s="1"/>
  <c r="B14" i="6" s="1"/>
  <c r="B15" i="6" s="1"/>
  <c r="B16" i="6" s="1"/>
  <c r="B17" i="6" s="1"/>
  <c r="B18" i="6" s="1"/>
  <c r="B19" i="6" s="1"/>
  <c r="B20" i="6" s="1"/>
  <c r="B21" i="6" s="1"/>
  <c r="B22" i="6" s="1"/>
  <c r="B29" i="6" l="1"/>
  <c r="B30" i="6" s="1"/>
  <c r="B31" i="6" s="1"/>
  <c r="B32" i="6" s="1"/>
  <c r="F9" i="2"/>
  <c r="F8" i="2"/>
  <c r="F10" i="2"/>
  <c r="F11" i="2"/>
  <c r="F12" i="2"/>
  <c r="F13" i="2"/>
  <c r="F14" i="2"/>
  <c r="F15" i="2"/>
  <c r="F16" i="2"/>
  <c r="F17" i="2"/>
  <c r="F18" i="2"/>
  <c r="F19" i="2"/>
  <c r="F25" i="2"/>
  <c r="F26" i="2"/>
  <c r="F27" i="2"/>
  <c r="F28" i="2"/>
  <c r="F29" i="2"/>
  <c r="F30" i="2"/>
  <c r="F31" i="2"/>
  <c r="F32" i="2"/>
  <c r="F33" i="2"/>
  <c r="F34" i="2"/>
  <c r="F35" i="2"/>
  <c r="F36" i="2"/>
  <c r="F37" i="2"/>
  <c r="F38" i="2"/>
  <c r="F39" i="2"/>
  <c r="F44" i="2" l="1"/>
</calcChain>
</file>

<file path=xl/sharedStrings.xml><?xml version="1.0" encoding="utf-8"?>
<sst xmlns="http://schemas.openxmlformats.org/spreadsheetml/2006/main" count="2971" uniqueCount="1595">
  <si>
    <t>I alt</t>
  </si>
  <si>
    <t>Ikke relevant</t>
  </si>
  <si>
    <t>Beløb under tærsklerne for fradrag (omfattet
af en risikovægt på 250 %)</t>
  </si>
  <si>
    <t xml:space="preserve">Heraf i henhold til den avancerede målemetode </t>
  </si>
  <si>
    <t>EU 23c</t>
  </si>
  <si>
    <t xml:space="preserve">Heraf i henhold til standardmetoden </t>
  </si>
  <si>
    <t>EU 23b</t>
  </si>
  <si>
    <t xml:space="preserve">Heraf i henhold til basisindikatormetoden </t>
  </si>
  <si>
    <t>EU 23a</t>
  </si>
  <si>
    <t xml:space="preserve">Operationel risiko </t>
  </si>
  <si>
    <t>Store eksponeringer</t>
  </si>
  <si>
    <t>EU 22a</t>
  </si>
  <si>
    <t xml:space="preserve">Heraf i henhold til metoden med interne modeller </t>
  </si>
  <si>
    <t>Positionsrisiko, valutarisiko og råvarerisiko (markedsrisiko)</t>
  </si>
  <si>
    <t>Heraf 1 250 % / fradrag</t>
  </si>
  <si>
    <t>EU 19a</t>
  </si>
  <si>
    <t xml:space="preserve">Heraf i henhold til SEC-SA-metoden </t>
  </si>
  <si>
    <t>Heraf i henhold til SEC-ERBA (undtagen IAA)</t>
  </si>
  <si>
    <t xml:space="preserve">Heraf i henhold til SEC-IRBA-metoden </t>
  </si>
  <si>
    <t>Securitiseringseksponeringer uden for handelsbeholdningen (efter loftet)</t>
  </si>
  <si>
    <t xml:space="preserve">Afviklingsrisiko </t>
  </si>
  <si>
    <t>Heraf anden modpartskreditrisiko</t>
  </si>
  <si>
    <t>Heraf kreditværdijustering — CVA</t>
  </si>
  <si>
    <t>EU 8b</t>
  </si>
  <si>
    <t>Heraf eksponeringer mod en CCP</t>
  </si>
  <si>
    <t>EU 8a</t>
  </si>
  <si>
    <t>Heraf i henhold til metoden med interne modeller (IMM)</t>
  </si>
  <si>
    <t xml:space="preserve">Modpartskreditrisiko — CCR </t>
  </si>
  <si>
    <t xml:space="preserve">Heraf i henhold til den avancerede IRB-metode (Advanced IRB, A-IRB) </t>
  </si>
  <si>
    <t>Heraf: aktier i henhold til den forenklede risikovægtningsmetode</t>
  </si>
  <si>
    <t>EU 4a</t>
  </si>
  <si>
    <t>Heraf i henhold til kategoriseringsmetoden</t>
  </si>
  <si>
    <t xml:space="preserve">Heraf i henhold til den grundlæggende IRB-metode (Foundation IRB, F-IRB) </t>
  </si>
  <si>
    <t>Kreditrisiko (undtagen modpartskreditrisiko)</t>
  </si>
  <si>
    <t>%</t>
  </si>
  <si>
    <t>Samlede risikoeksponeringer (TREA)</t>
  </si>
  <si>
    <t>Skema EU OV1 – Oversigt over samlede risikoeksponeringer</t>
  </si>
  <si>
    <t>NSFR (%)</t>
  </si>
  <si>
    <t>Krævet stabil finansiering i alt</t>
  </si>
  <si>
    <t>Tilgængelig stabil finansiering i alt</t>
  </si>
  <si>
    <t>Net stable funding ratio</t>
  </si>
  <si>
    <t>Likviditetsdækningsgrad (%)</t>
  </si>
  <si>
    <t>Nettopengestrømme i alt (justeret værdi)</t>
  </si>
  <si>
    <t xml:space="preserve">Indgående pengestrømme — Samlet vægtet værdi </t>
  </si>
  <si>
    <t>EU 16b</t>
  </si>
  <si>
    <t xml:space="preserve">Udgående pengestrømme — Samlet vægtet værdi </t>
  </si>
  <si>
    <t>EU 16a</t>
  </si>
  <si>
    <t>Likvide aktiver af høj kvalitet (HQLA) i alt (vægtet værdi — gennemsnit)</t>
  </si>
  <si>
    <t>Likviditetsdækningsgrad</t>
  </si>
  <si>
    <t>Sammenlagt gearingsgradkrav (%)</t>
  </si>
  <si>
    <t>EU 14e</t>
  </si>
  <si>
    <t>Krav vedrørende gearingsgradbuffer (%)</t>
  </si>
  <si>
    <t>EU 14d</t>
  </si>
  <si>
    <t>Gearingsgradbuffer og sammenlagt gearingsgradkrav (som en procentdel af det samlede eksponeringsmål)</t>
  </si>
  <si>
    <t>Samlede SREP-gearingsgradkrav (%)</t>
  </si>
  <si>
    <t>EU 14c</t>
  </si>
  <si>
    <t xml:space="preserve">     heraf: i form af egentlig kernekapital (procentpoint)</t>
  </si>
  <si>
    <t>EU 14b</t>
  </si>
  <si>
    <t xml:space="preserve">Krav om yderligere kapitalgrundlag til at tage højde for risikoen for overdreven gearing (%) </t>
  </si>
  <si>
    <t>EU 14a</t>
  </si>
  <si>
    <r>
      <rPr>
        <b/>
        <sz val="11"/>
        <color theme="1"/>
        <rFont val="Calibri"/>
        <family val="2"/>
        <scheme val="minor"/>
      </rPr>
      <t>Krav om yderligere kapitalgrundlag til at tage højde for risikoen for overdreven gearing (som en procentdel af det samlede eksponeringsmål)</t>
    </r>
  </si>
  <si>
    <t>Gearingsgrad (%)</t>
  </si>
  <si>
    <t>Samlet eksponeringsmål</t>
  </si>
  <si>
    <t>Gearingsgrad</t>
  </si>
  <si>
    <t>Tilgængelig egentlig kernekapital efter opfyldelse af samlede SREP-kapitalgrundlagskrav (%)</t>
  </si>
  <si>
    <t>Sammenlagte kapitalkrav (%)</t>
  </si>
  <si>
    <t>EU 11a</t>
  </si>
  <si>
    <t>Kombineret bufferkrav (%)</t>
  </si>
  <si>
    <t>Buffer for andre systemisk vigtige institutter (%)</t>
  </si>
  <si>
    <t>EU 10a</t>
  </si>
  <si>
    <t>Buffer for globale systemisk vigtige institutter (%)</t>
  </si>
  <si>
    <t>Systemisk risikobuffer (%)</t>
  </si>
  <si>
    <t>EU 9a</t>
  </si>
  <si>
    <t>Institutspecifik kontracyklisk kapitalbuffer (%)</t>
  </si>
  <si>
    <t>Bevaringsbuffer som følge af makroprudentiel eller systemisk risiko identificeret på medlemsstatsniveau (%)</t>
  </si>
  <si>
    <t>Kapitalbevaringsbuffer (%)</t>
  </si>
  <si>
    <t>Kombineret bufferkrav og sammenlagt kapitalkrav (som en procentdel af den risikovægtede eksponering)</t>
  </si>
  <si>
    <t>Samlede SREP-kapitalgrundlagskrav (%)</t>
  </si>
  <si>
    <t>EU 7d</t>
  </si>
  <si>
    <t xml:space="preserve">     heraf: i form af kernekapital (procentpoint)</t>
  </si>
  <si>
    <t>EU 7c</t>
  </si>
  <si>
    <t>EU 7b</t>
  </si>
  <si>
    <r>
      <rPr>
        <sz val="11"/>
        <color theme="1"/>
        <rFont val="Calibri"/>
        <family val="2"/>
        <scheme val="minor"/>
      </rPr>
      <t>Krav om yderligere kapitalgrundlag til at tage højde for andre risici end risikoen for overdreven gearing (%)</t>
    </r>
    <r>
      <rPr>
        <sz val="11"/>
        <color rgb="FF000000"/>
        <rFont val="Calibri"/>
        <family val="2"/>
        <scheme val="minor"/>
      </rPr>
      <t xml:space="preserve"> </t>
    </r>
  </si>
  <si>
    <t>EU 7a</t>
  </si>
  <si>
    <t>Krav om yderligere kapitalgrundlag til at tage højde for andre risici end risikoen for overdreven gearing (som en procentdel af den risikovægtede eksponering)</t>
  </si>
  <si>
    <t>Kapitalprocent i alt (%)</t>
  </si>
  <si>
    <t>Kernekapitalprocent (%)</t>
  </si>
  <si>
    <r>
      <rPr>
        <sz val="11"/>
        <color theme="1"/>
        <rFont val="Calibri"/>
        <family val="2"/>
        <scheme val="minor"/>
      </rPr>
      <t>Egentlig kernekapitalprocent (%)</t>
    </r>
  </si>
  <si>
    <r>
      <rPr>
        <b/>
        <sz val="11"/>
        <color rgb="FF000000"/>
        <rFont val="Calibri"/>
        <family val="2"/>
        <scheme val="minor"/>
      </rPr>
      <t>Kapitalprocenter (som en procentdel af den risikovægtede eksponering)</t>
    </r>
  </si>
  <si>
    <t>Samlet risikoeksponering</t>
  </si>
  <si>
    <t>Risikovægtede eksponeringer</t>
  </si>
  <si>
    <t xml:space="preserve">Samlet kapital </t>
  </si>
  <si>
    <t xml:space="preserve">Kernekapital </t>
  </si>
  <si>
    <t xml:space="preserve">Egentlig kernekapital (CET1) </t>
  </si>
  <si>
    <t>Tilgængeligt kapitalgrundlag (beløb)</t>
  </si>
  <si>
    <t>e</t>
  </si>
  <si>
    <t>d</t>
  </si>
  <si>
    <t>c</t>
  </si>
  <si>
    <t>Skema EU KM1 – Skema om væsentlige målekriterier</t>
  </si>
  <si>
    <t>Kapitalgrundlagsinstrumenter i forsikrings-, genforsikrings eller forsikringsholdingselskaber, som ikke fratrækkes kapitalgrundlaget</t>
  </si>
  <si>
    <t>Risikoeksponering</t>
  </si>
  <si>
    <t>Eksponeringsværdi</t>
  </si>
  <si>
    <t>b</t>
  </si>
  <si>
    <t>a</t>
  </si>
  <si>
    <t>Skema EU INS1 – Forsikringsinteresser</t>
  </si>
  <si>
    <t>Det finansielle konglomerats kapitalprocent (%)</t>
  </si>
  <si>
    <t xml:space="preserve">Krav om yderligere kapitalgrundlag til det finansielle konglomerat (beløb) </t>
  </si>
  <si>
    <t>T</t>
  </si>
  <si>
    <t>Skema EU INS2 – Finansielle konglomerater — Oplysninger om kapitalgrundlag og kapitalprocent</t>
  </si>
  <si>
    <t>N/A</t>
  </si>
  <si>
    <t xml:space="preserve">Skema EU LI1 – Forskelle mellem de regnskabsmæssige rammer og rammerne for tilsynsmæssig konsolidering og sammenstilling af regnskabskategorierne og lovmæssigt fastsatte risikokategorier </t>
  </si>
  <si>
    <t>f</t>
  </si>
  <si>
    <t>g</t>
  </si>
  <si>
    <t xml:space="preserve"> </t>
  </si>
  <si>
    <t>Regnskabsmæssige værdier som indberettet i offentliggjorte regnskaber</t>
  </si>
  <si>
    <t>Regnskabsmæssige værdier inden for rammerne for tilsynsmæssig konsolidering</t>
  </si>
  <si>
    <t>Regnskabsmæssige værdier af poster</t>
  </si>
  <si>
    <t>Ikke omfattet af kapitalgrundlagskrav eller omfattet af fradrag i kapitalgrundlag</t>
  </si>
  <si>
    <t>Opdeling efter aktivklasser i overensstemmelse med balancen i de offentliggjorte regnskaber</t>
  </si>
  <si>
    <t xml:space="preserve">Kassebeholdning og anfordringstilgodehavender hos centralbanker </t>
  </si>
  <si>
    <t xml:space="preserve">Tilgodehavender hos kreditinstitutter og centralbanker </t>
  </si>
  <si>
    <t xml:space="preserve">Udlån og andre tilgodehavender til dagsværdi </t>
  </si>
  <si>
    <t xml:space="preserve">Udlån og andre tilgodehavender til amortiseret kostpris </t>
  </si>
  <si>
    <t xml:space="preserve">Obligationer til dagsværdi </t>
  </si>
  <si>
    <t xml:space="preserve">Aktier m.v. </t>
  </si>
  <si>
    <t>Kapitalandele i associerede virksomheder</t>
  </si>
  <si>
    <t xml:space="preserve">Aktiver tilknyttet puljeordninger </t>
  </si>
  <si>
    <t>Grunde og bygninger i alt</t>
  </si>
  <si>
    <t xml:space="preserve">Øvrige materielle aktiver </t>
  </si>
  <si>
    <t>Aktuelle skatteaktiver</t>
  </si>
  <si>
    <t xml:space="preserve">Andre aktiver </t>
  </si>
  <si>
    <t xml:space="preserve">Periodeafgrænsningsposter </t>
  </si>
  <si>
    <t xml:space="preserve">Aktiver i alt </t>
  </si>
  <si>
    <t>Opdeling efter passivklasser i overensstemmelse med balancen i de offentliggjorte regnskaber</t>
  </si>
  <si>
    <t>1</t>
  </si>
  <si>
    <t xml:space="preserve">Gæld til kreditinstitutter og centralbanker </t>
  </si>
  <si>
    <t xml:space="preserve">Indlån og anden gæld </t>
  </si>
  <si>
    <t xml:space="preserve">Indlån i puljeordninger </t>
  </si>
  <si>
    <t xml:space="preserve">Andre passiver </t>
  </si>
  <si>
    <t xml:space="preserve">Aktiekapital </t>
  </si>
  <si>
    <t>Opskrivningshenlæggelser</t>
  </si>
  <si>
    <t xml:space="preserve">Reserve for sikringsinstrumenter </t>
  </si>
  <si>
    <t xml:space="preserve">Overført resultat  </t>
  </si>
  <si>
    <t xml:space="preserve">Foreslået udbytte </t>
  </si>
  <si>
    <t xml:space="preserve">Passiver i alt </t>
  </si>
  <si>
    <t xml:space="preserve">Skema EU LI2 – Primære kilder til forskelle mellem de tilsynsmæssige eksponeringsbeløb og regnskabsmæssige værdier </t>
  </si>
  <si>
    <t xml:space="preserve">Poster omfattet af </t>
  </si>
  <si>
    <t>Kreditrisikoramme</t>
  </si>
  <si>
    <t xml:space="preserve">Securitiseringsramme </t>
  </si>
  <si>
    <t xml:space="preserve">Modpartskreditrisikoramme </t>
  </si>
  <si>
    <t>Markedsrisikoramme</t>
  </si>
  <si>
    <t>Regnskabsmæssig værdi af aktiver inden for rammerne for tilsynsmæssig konsolidering (jf. skema LI1)</t>
  </si>
  <si>
    <t>Regnskabsmæssig værdi af passiver inden for rammerne for tilsynsmæssig konsolidering (jf. skema LI1)</t>
  </si>
  <si>
    <t>Samlet nettobeløb inden for rammerne for tilsynsmæssig konsolidering</t>
  </si>
  <si>
    <t>Ikkebalanceførte beløb</t>
  </si>
  <si>
    <t xml:space="preserve">Forskelle i værdiansættelser </t>
  </si>
  <si>
    <t>Forskelle pga. forskellige nettingregler ud over dem, der allerede er inkluderet i række 2</t>
  </si>
  <si>
    <t>Forskelle pga. hensyntagen til bestemmelser</t>
  </si>
  <si>
    <t>Forskelle pga. anvendelse af kreditrisikoreduktionsteknikker (CRM)</t>
  </si>
  <si>
    <t>Forskelle pga. kreditkonverteringsfaktorer</t>
  </si>
  <si>
    <t>Forskelle pga. securitisering med risikooverførsel</t>
  </si>
  <si>
    <t>Andre forskelle</t>
  </si>
  <si>
    <t>Eksponeringer overvejet i tilsynsøjemed</t>
  </si>
  <si>
    <t xml:space="preserve">Skema EU LI3 – Skitsering af forskellene i konsolideringens omfang (enhed for enhed) </t>
  </si>
  <si>
    <t>h</t>
  </si>
  <si>
    <t>Enhedens navn</t>
  </si>
  <si>
    <t>Metode for regnskabsmæssig konsolidering</t>
  </si>
  <si>
    <t>Metode for tilsynsmæssig konsolidering</t>
  </si>
  <si>
    <t>Beskrivelse af enheden</t>
  </si>
  <si>
    <t>Fuld konsolidering</t>
  </si>
  <si>
    <t>Proportional konsolidering</t>
  </si>
  <si>
    <t>Den indre værdis metode</t>
  </si>
  <si>
    <t>Hverken konsolideret eller fratrukket</t>
  </si>
  <si>
    <t>Fratrukket</t>
  </si>
  <si>
    <t>X</t>
  </si>
  <si>
    <t>Kreditinstitut</t>
  </si>
  <si>
    <t>Skema EU PV1 – Justeringer som følge af forsigtig værdiansættelse (PVA)</t>
  </si>
  <si>
    <t>Fast format</t>
  </si>
  <si>
    <t>EU e1</t>
  </si>
  <si>
    <t>EU e2</t>
  </si>
  <si>
    <t>Risikokategori</t>
  </si>
  <si>
    <t>AVA på kategoriniveau</t>
  </si>
  <si>
    <t>Aktier</t>
  </si>
  <si>
    <t>Renter</t>
  </si>
  <si>
    <t>Valuta</t>
  </si>
  <si>
    <t>Lån</t>
  </si>
  <si>
    <t>Råvarer</t>
  </si>
  <si>
    <t>AVA for ikke optjente kreditspænd</t>
  </si>
  <si>
    <t>Markedsprisusikkerhed</t>
  </si>
  <si>
    <t>Omkostninger ved at lukke positioner</t>
  </si>
  <si>
    <t>Koncentrerede positioner</t>
  </si>
  <si>
    <t>Forfald før aftalt tid</t>
  </si>
  <si>
    <t>Modelrisiko</t>
  </si>
  <si>
    <t>Operationel risiko</t>
  </si>
  <si>
    <t>Yderligere værdijusteringer (AVA'er) i alt</t>
  </si>
  <si>
    <t>Skema EU CC1 — Sammensætning af lovpligtigt kapitalgrundlag</t>
  </si>
  <si>
    <t xml:space="preserve"> a)</t>
  </si>
  <si>
    <t xml:space="preserve">  b)</t>
  </si>
  <si>
    <t xml:space="preserve">Egentlig kernekapital:  instrumenter og reserver                                             </t>
  </si>
  <si>
    <t xml:space="preserve">Kapitalinstrumenter og overkurs ved emission i tilknytning hertil </t>
  </si>
  <si>
    <t xml:space="preserve">     heraf: instrumenttype 1</t>
  </si>
  <si>
    <t xml:space="preserve">     heraf: instrumenttype 2</t>
  </si>
  <si>
    <t xml:space="preserve">     heraf: instrumenttype 3</t>
  </si>
  <si>
    <t xml:space="preserve">Overført resultat </t>
  </si>
  <si>
    <t>Akkumuleret anden totalindkomst (og andre reserver)</t>
  </si>
  <si>
    <t>EU-3a</t>
  </si>
  <si>
    <t>Midler til dækning af generelle kreditinstitutrisici</t>
  </si>
  <si>
    <t xml:space="preserve">Beløb for kvalificerede poster omhandlet i artikel 484, stk. 3, i CRR og overkurs ved emission i tilknytning hertil underlagt udfasning fra egentlig kernekapital </t>
  </si>
  <si>
    <t>Minoritetsinteresser (beløb tilladt i den konsoliderede egentlige kernekapital)</t>
  </si>
  <si>
    <t>EU-5a</t>
  </si>
  <si>
    <t xml:space="preserve">Uafhængigt kontrollerede foreløbige overskud fratrukket forventede udgifter eller udbytter </t>
  </si>
  <si>
    <t>Egentlig kernekapital før lovpligtige justeringer</t>
  </si>
  <si>
    <t>Egentlig kernekapital: lovpligtige justeringer </t>
  </si>
  <si>
    <t>Yderligere værdijusteringer (negativt beløb)</t>
  </si>
  <si>
    <t>Immaterielle aktiver (fratrukket tilhørende skatteforpligtelser) (negativt beløb)</t>
  </si>
  <si>
    <t>Udskudte skatteaktiver, som afhænger af fremtidig rentabilitet, bortset fra aktiver, som skyldes midlertidige forskelle (fratrukket tilknyttede skatteforpligtelser, hvis betingelserne i artikel 38, stk. 3, i CRR er opfyldt) (negativt beløb)</t>
  </si>
  <si>
    <t>Dagsværdireserver i relation til gevinst eller tab på sikring af pengestrømme for finansielle instrumenter, som ikke er værdiansat til dagsværdi</t>
  </si>
  <si>
    <t xml:space="preserve">Negative beløb, der fremkommer ved beregningen af forventede tab </t>
  </si>
  <si>
    <t>Stigning i egenkapitalen, som er genereret af securitiserede aktiver (negativt beløb)</t>
  </si>
  <si>
    <t>Gevinster eller tab på forpligtelser værdiansat til dagsværdi, som skyldes ændringer i instituttets egen kreditsituation</t>
  </si>
  <si>
    <t>Aktiver i ydelsesbaserede pensionskasser (negativt beløb)</t>
  </si>
  <si>
    <t>Et instituts direkte, indirekte og syntetiske besiddelser af egne egentlige kernekapitalinstrumenter (negativt beløb)</t>
  </si>
  <si>
    <t>Direkte, indirekte og syntetiske besiddelser af egentlige kernekapitalinstrumenter i enheder i den finansielle sektor, når disse enheder har en besiddelse i krydsejerskab med instituttet, og ejerskabet er blevet indgået for kunstigt at øge instituttets kapitalgrundlag (negativt beløb)</t>
  </si>
  <si>
    <t>Instituttets relevante direkte, indirekte og syntetiske besiddelser af egentlige kernekapitalinstrumenter i enheder i den finansielle sektor, når instituttet ikke har væsentlige investeringer i disse enheder (beløb over tærsklen på 10 % og fratrukket anerkendte korte positioner) (negativt beløb)</t>
  </si>
  <si>
    <t>Instituttets relevante direkte, indirekte og syntetiske besiddelser af egentlige kernekapitalinstrumenter i enheder i den finansielle sektor, når instituttet har væsentlige investeringer i disse enheder (beløb over tærsklen på 10 % og fratrukket anerkendte korte positioner) (negativt beløb)</t>
  </si>
  <si>
    <t>EU-20a</t>
  </si>
  <si>
    <t>Eksponeringsværdien af følgende poster, som opfylder betingelserne for at kunne tildeles en risikovægt på 1 250 %, hvis instituttet vælger fradragsalternativet</t>
  </si>
  <si>
    <t>EU-20b</t>
  </si>
  <si>
    <t xml:space="preserve">     heraf: kvalificerede andele uden for den finansielle sektor (negativt beløb)</t>
  </si>
  <si>
    <t>EU-20c</t>
  </si>
  <si>
    <t xml:space="preserve">     heraf: securitiseringspositioner (negativt beløb)</t>
  </si>
  <si>
    <t>EU-20d</t>
  </si>
  <si>
    <t xml:space="preserve">     heraf: leveringsrisiko (free deliveries) (negativt beløb)</t>
  </si>
  <si>
    <t>Beløb, der overstiger tærsklen på 17,65 % (negativt beløb)</t>
  </si>
  <si>
    <t xml:space="preserve">     heraf: instituttets direkte, indirekte og syntetiske besiddelser af egentlige kernekapitalinstrumenter i enheder i den finansielle sektor, når instituttet har væsentlige investeringer i disse enheder</t>
  </si>
  <si>
    <t xml:space="preserve">     heraf: udskudte skatteaktiver, som skyldes midlertidige forskelle</t>
  </si>
  <si>
    <t>EU-25a</t>
  </si>
  <si>
    <t>Tab i det løbende regnskabsår (negativt beløb)</t>
  </si>
  <si>
    <t>EU-25b</t>
  </si>
  <si>
    <t>Forventet skat vedrørende egentlige kernekapitalposter, undtagen når instituttet behørigt tilpasser størrelsen af de egentlige kernekapitalposter, hvis skatten reducerer det beløb, hvormed disse poster kan anvendes til dækning af risici eller tab (negativt beløb)</t>
  </si>
  <si>
    <t>27a</t>
  </si>
  <si>
    <t>Samlede lovpligtige justeringer af egentlig kernekapital</t>
  </si>
  <si>
    <t xml:space="preserve">Egentlig kernekapital </t>
  </si>
  <si>
    <t>Hybrid kernekapital: instrumenter</t>
  </si>
  <si>
    <t>Kapitalinstrumenter og overkurs ved emission i tilknytning hertil</t>
  </si>
  <si>
    <t xml:space="preserve">     heraf: klassificeret som egenkapital i henhold til de gældende regnskabsstandarder</t>
  </si>
  <si>
    <t xml:space="preserve">     heraf: klassificeret som forpligtelser i henhold til de gældende regnskabsstandarder</t>
  </si>
  <si>
    <t>Beløb for kvalificerede poster omhandlet i artikel 484, stk. 4, i CRR og overkurs ved emission i tilknytning hertil underlagt udfasning fra hybrid kernekapital</t>
  </si>
  <si>
    <t>EU-33a</t>
  </si>
  <si>
    <t>Beløb for kvalificerede poster omhandlet i artikel 494a, stk. 1, i CRR underlagt udfasning fra hybrid kernekapital</t>
  </si>
  <si>
    <t>EU-33b</t>
  </si>
  <si>
    <t>Beløb for kvalificerede poster omhandlet i artikel 494b, stk. 1, i CRR underlagt udfasning fra hybrid kernekapital</t>
  </si>
  <si>
    <t xml:space="preserve">Kvalificerende kernekapital indregnet i den konsoliderede hybride kernekapital (herunder minoritetsinteresser, der ikke er indregnet i række 5), som er udstedt af datterselskaber og indehaves af tredjemand </t>
  </si>
  <si>
    <t xml:space="preserve">    heraf: instrumenter udstedt af datterselskaber og underlagt udfasning </t>
  </si>
  <si>
    <t xml:space="preserve">   Hybrid kernekapital før lovpligtige justeringer</t>
  </si>
  <si>
    <t>Hybrid kernekapital: lovpligtige justeringer</t>
  </si>
  <si>
    <t>Et instituts direkte, indirekte og syntetiske besiddelser af egne hybride kernekapitalinstrumenter (negativt beløb)</t>
  </si>
  <si>
    <t>Direkte, indirekte og syntetiske besiddelser af hybride kernekapitalinstrumenter i enheder i den finansielle sektor, når disse enheder har en besiddelse i krydsejerskab med instituttet, og ejerskabet er blevet indgået for kunstigt at øge instituttets kapitalgrundlag (negativt beløb)</t>
  </si>
  <si>
    <t>Direkte, indirekte og syntetiske besiddelser af hybride kernekapitalinstrumenter i enheder i den finansielle sektor, når instituttet ikke har væsentlige investeringer i disse enheder (beløb over tærsklen på 10 % og fratrukket anerkendte korte positioner) (negativt beløb)</t>
  </si>
  <si>
    <t>Instituttets direkte, indirekte og syntetiske besiddelser af hybride kernekapitalinstrumenter i enheder i den finansielle sektor, når instituttet har væsentlige investeringer i disse enheder (fratrukket anerkendte korte positioner) (negativt beløb)</t>
  </si>
  <si>
    <t xml:space="preserve">42a </t>
  </si>
  <si>
    <t>Andre lovpligtige justeringer af den hybride kernekapital</t>
  </si>
  <si>
    <t>Samlede lovpligtige justeringer af hybrid kernekapital</t>
  </si>
  <si>
    <t xml:space="preserve">Hybrid kernekapital </t>
  </si>
  <si>
    <t>Kernekapital (kernekapital = egentlig kernekapital + hybrid kernekapital)</t>
  </si>
  <si>
    <t>Supplerende kapital: instrumenter</t>
  </si>
  <si>
    <t>Beløbet for kvalificerede poster omhandlet i artikel 484, stk. 5, i CRR og overkurs ved emission i tilknytning hertil underlagt udfasning fra supplerende kapital, jf. artikel 486, stk. 4, i CRR</t>
  </si>
  <si>
    <t>EU-47a</t>
  </si>
  <si>
    <t>Beløb for kvalificerede poster omhandlet i artikel 494a, stk. 2, i CRR underlagt udfasning fra supplerende kapital.</t>
  </si>
  <si>
    <t>EU-47b</t>
  </si>
  <si>
    <t>Beløb for kvalificerede poster omhandlet i artikel 494b, stk. 2, i CRR underlagt udfasning fra supplerende kapital.</t>
  </si>
  <si>
    <t xml:space="preserve">Kvalificerende kapitalgrundlagsinstrumenter indregnet i konsolideret supplerende kapital (herunder minoritetsinteresser, der ikke medtages i række 5 eller 34), som er udstedt af datterselskaber og indehaves af tredjemand. </t>
  </si>
  <si>
    <t xml:space="preserve">   heraf: instrumenter udstedt af datterselskaber og underlagt udfasning</t>
  </si>
  <si>
    <t>Kreditrisikojusteringer</t>
  </si>
  <si>
    <t>Supplerende kapital før lovpligtige justeringer</t>
  </si>
  <si>
    <t>Supplerende kapital: lovpligtige justeringer </t>
  </si>
  <si>
    <t>Et instituts direkte, indirekte og syntetiske besiddelser af egne supplerende kapitalinstrumenter og efterstillede lån (negativt beløb)</t>
  </si>
  <si>
    <t>Direkte, indirekte og syntetiske besiddelser af supplerende kapitalinstrumenter og efterstillede lån i enheder i den finansielle sektor, når disse enheder har en besiddelse i krydsejerskab med instituttet, og ejerskabet er blevet indgået for kunstigt at øge instituttets kapitalgrundlag (negativt beløb)</t>
  </si>
  <si>
    <t xml:space="preserve">Direkte, indirekte og syntetiske besiddelser af supplerende kapitalinstrumenter i enheder i den finansielle sektor, når instituttet ikke har væsentlige investeringer i disse enheder (beløb over tærsklen på 10 % og fratrukket anerkendte korte positioner) (negativt beløb)  </t>
  </si>
  <si>
    <t>54a</t>
  </si>
  <si>
    <t>Instituttets direkte, indirekte og syntetiske besiddelser af supplerende kapitalinstrumenter og efterstillede lån i enheder i den finansielle sektor, når instituttet har væsentlige investeringer i disse enheder (fratrukket anerkendte korte positioner) (negativt beløb)</t>
  </si>
  <si>
    <t>Kvalificerede fradrag i nedskrivningsrelevante passiver, som overstiger instituttets nedskrivningsrelevante passiver (negativt beløb)</t>
  </si>
  <si>
    <t>EU-56b</t>
  </si>
  <si>
    <t>Andre lovpligtige justeringer af den supplerende kapital</t>
  </si>
  <si>
    <t>Samlede lovpligtige justeringer af supplerende kapital</t>
  </si>
  <si>
    <t xml:space="preserve">Supplerende kapital </t>
  </si>
  <si>
    <t>Samlet kapital (samlet kapital = kernekapital + supplerende kapital)</t>
  </si>
  <si>
    <t>Kapitalprocenter og -krav, inkl. buffere </t>
  </si>
  <si>
    <t>Egentlig kernekapital</t>
  </si>
  <si>
    <t>Kernekapital</t>
  </si>
  <si>
    <t>Samlet kapital</t>
  </si>
  <si>
    <t>Instituttets sammenlagte kapitalkrav for egentlig kernekapital</t>
  </si>
  <si>
    <t xml:space="preserve">heraf: krav om kapitalbevaringsbuffer </t>
  </si>
  <si>
    <t xml:space="preserve">heraf: krav om kontracyklisk kapitalbuffer </t>
  </si>
  <si>
    <t xml:space="preserve">heraf: krav om systemisk risikobuffer </t>
  </si>
  <si>
    <t>EU-67a</t>
  </si>
  <si>
    <t>heraf: krav om G-SII-buffer eller O-SII-buffer</t>
  </si>
  <si>
    <t>EU-67b</t>
  </si>
  <si>
    <t>heraf: krav om yderligere kapitalgrundlag til at tage højde for andre risici end risikoen for overdreven gearing (%)</t>
  </si>
  <si>
    <t>Tilgængelig egentlig kernekapital (som en procentdel af risikoeksponeringen) efter opfyldelse af minimumskapitalkrav</t>
  </si>
  <si>
    <t>Nationale minima (hvis forskellige fra Basel III)</t>
  </si>
  <si>
    <t>Beløb under tærsklerne for fradrag (før risikovægtning) </t>
  </si>
  <si>
    <t xml:space="preserve">Instituttets direkte og indirekte besiddelser af egentlige kernekapitalinstrumenter i enheder i den finansielle sektor, når instituttet har væsentlige investeringer i disse enheder (beløb under tærsklen på 17,65 % og fratrukket anerkendte korte positioner) </t>
  </si>
  <si>
    <t>Gældende lofter over indregning af hensættelser i supplerende kapital </t>
  </si>
  <si>
    <t>Kreditrisikojusteringer indregnet i den supplerende kapital i forbindelse med eksponeringer opgjort efter standardmetoden (før anvendelse af loftet)</t>
  </si>
  <si>
    <t>Loft for indregning af kreditrisikojusteringer i den supplerende kapital opgjort efter standardmetoden</t>
  </si>
  <si>
    <t>Kreditrisikojusteringer indregnet i den supplerende kapital i forbindelse med eksponeringer opgjort efter IRB-metoden (før anvendelse af loftet)</t>
  </si>
  <si>
    <t>Loft for indregning af kreditrisikojusteringer i den supplerende kapital opgjort efter IRB-metoden</t>
  </si>
  <si>
    <t>Kapitalinstrumenter underlagt udfasning (kun i perioden fra den 1. januar 2014 til den 1. januar 2022)</t>
  </si>
  <si>
    <t>Nuværende loft over egentlige kernekapitalinstrumenter underlagt udfasning</t>
  </si>
  <si>
    <t>Beløb ikke indregnet i den egentlige kernekapital som følge af loft (overskridelse af loft efter indfrielse og forfald)</t>
  </si>
  <si>
    <t>Nuværende loft for hybride kernekapitalinstrumenter underlagt udfasning</t>
  </si>
  <si>
    <t>Beløb ikke indregnet i den hybride kernekapital som følge af loft (overskridelse af loft efter indfrielse og forfald)</t>
  </si>
  <si>
    <t>Nuværende loft for supplerende kapitalinstrumenter underlagt udfasning</t>
  </si>
  <si>
    <t>Beløb ikke indregnet i den supplerende kapital som følge af loft (overskridelse af loft efter indfrielse og forfald)</t>
  </si>
  <si>
    <t>Skema CC2 – Afstemning mellem lovbestemt kapitalgrundlag og balancen i de reviderede regnskaber</t>
  </si>
  <si>
    <t>Reference</t>
  </si>
  <si>
    <t>Ved periodens udgang</t>
  </si>
  <si>
    <t>Aktiver i alt</t>
  </si>
  <si>
    <t>Passiver i alt</t>
  </si>
  <si>
    <t>Aktiekapital</t>
  </si>
  <si>
    <t>Aktiekapital i alt</t>
  </si>
  <si>
    <t>Skema EU-CCyB1 — Geografisk fordeling af krediteksponeringer, der er relevante for beregningen af den kontracykliske kapitalbuffer</t>
  </si>
  <si>
    <t>i</t>
  </si>
  <si>
    <t>j</t>
  </si>
  <si>
    <t>k</t>
  </si>
  <si>
    <t>l</t>
  </si>
  <si>
    <t>m</t>
  </si>
  <si>
    <t>Generelle krediteksponeringer</t>
  </si>
  <si>
    <t>Relevante krediteksponeringer — Markedsrisiko</t>
  </si>
  <si>
    <t>Securitiseringseksponeringer — Værdi af eksponeringer uden for handelsbeholdningen</t>
  </si>
  <si>
    <t>Eksponeringsværdi i alt</t>
  </si>
  <si>
    <t>Kapitalgrundlagskrav</t>
  </si>
  <si>
    <t xml:space="preserve">Risikovægtede eksponeringer </t>
  </si>
  <si>
    <t>Vægte for kapitalgrundlagskrav
(%)</t>
  </si>
  <si>
    <t>Kontracyklisk buffersats
(%)</t>
  </si>
  <si>
    <t>Eksponeringsværdi opgjort efter standardmetoden</t>
  </si>
  <si>
    <t>Eksponeringsværdi opgjort efter IRB-metoden</t>
  </si>
  <si>
    <t>Sum af lange og korte positioner af eksponeringer i handelsbeholdningen for standardmetoden</t>
  </si>
  <si>
    <t>Værdi af eksponeringer i handelsbeholdningen for interne modeller</t>
  </si>
  <si>
    <t>Relevante krediteksponeringer — Kreditrisiko</t>
  </si>
  <si>
    <t xml:space="preserve">Relevante krediteksponeringer — Securitiseringspositioner uden for handelsbeholdningen </t>
  </si>
  <si>
    <t xml:space="preserve"> I alt</t>
  </si>
  <si>
    <t>010</t>
  </si>
  <si>
    <t>Opdeling efter land:</t>
  </si>
  <si>
    <t>Land: 001</t>
  </si>
  <si>
    <t>Land: 002</t>
  </si>
  <si>
    <t>…</t>
  </si>
  <si>
    <t>Land: NNN</t>
  </si>
  <si>
    <t>020</t>
  </si>
  <si>
    <t>Ikke sikker på at vi skal offentliggøre dette, når vi kun har DK. Skemaerne er også tomme</t>
  </si>
  <si>
    <t>Skema EU-CCyB2 — Størrelsen af den institutspecifikke kontracykliske kapitalbuffer</t>
  </si>
  <si>
    <t>Institutspecifik kontracyklisk kapitalbuffersats</t>
  </si>
  <si>
    <t>Krav til den institutspecifikke kontracykliske kapitalbuffer</t>
  </si>
  <si>
    <t>n</t>
  </si>
  <si>
    <t>Skema EU LR1 - LRSum: Afstemning mellem regnskabsmæssige aktiver og gearingsgradrelevante eksponeringer — oversigt</t>
  </si>
  <si>
    <t>Relevant beløb</t>
  </si>
  <si>
    <t>Samlede aktiver, jf. de offentliggjorte regnskaber</t>
  </si>
  <si>
    <t>Justering for enheder, der er konsolideret med henblik på regnskabsførelse, men som ikke er omfattet af den tilsynsmæssige konsolidering</t>
  </si>
  <si>
    <t>(Justeringer for securitiserede eksponeringer, der opfylder de operationelle krav for anerkendelse af væsentlig risikooverførsel)</t>
  </si>
  <si>
    <r>
      <rPr>
        <sz val="11"/>
        <color theme="1"/>
        <rFont val="Calibri"/>
        <family val="2"/>
        <scheme val="minor"/>
      </rPr>
      <t>(Justering for midlertidig fritagelse af eksponeringer mod centralbanker (hvis det er relevant))</t>
    </r>
  </si>
  <si>
    <t>(Justering for aktiver under forvaltning (fiduciary assets), som indregnes på instituttets balance ifølge de gældende regnskabsregler, men ikke medtages i det samlede eksponeringsmål. jf. artikel 429a, stk. 1, litra i), i CRR)</t>
  </si>
  <si>
    <t>Justering for almindelige køb og salg af finansielle aktiver, der bogføres efter handelsdatoen</t>
  </si>
  <si>
    <t>Justering for kvalificerede cash pool-transaktioner</t>
  </si>
  <si>
    <r>
      <rPr>
        <sz val="11"/>
        <color rgb="FF000000"/>
        <rFont val="Calibri"/>
        <family val="2"/>
        <scheme val="minor"/>
      </rPr>
      <t>Justering for afledte finansielle instrumenter</t>
    </r>
  </si>
  <si>
    <t>Justering for værdipapirfinansieringstransaktioner (SFT'er)</t>
  </si>
  <si>
    <t>Justering for ikkebalanceførte poster (dvs. konvertering til ikkebalanceførte eksponeringer i form af kreditækvivalente beløb)</t>
  </si>
  <si>
    <t>(Justering for justeringer som følge af forsigtig værdiansættelse og specifikke og generelle hensættelser, der har reduceret kernekapitalen)</t>
  </si>
  <si>
    <t>EU-11a</t>
  </si>
  <si>
    <t>(Justering for eksponeringer udelukket fra det samlede eksponeringsmål, jf. artikel 429a, stk. 1, litra c), i CRR)</t>
  </si>
  <si>
    <t>EU-11b</t>
  </si>
  <si>
    <t>(Justering for eksponeringer udelukket fra det samlede eksponeringsmål, jf. artikel 429a, stk. 1, litra j), i CRR)</t>
  </si>
  <si>
    <t>Andre justeringer</t>
  </si>
  <si>
    <r>
      <rPr>
        <b/>
        <sz val="11"/>
        <color theme="1"/>
        <rFont val="Calibri"/>
        <family val="2"/>
        <scheme val="minor"/>
      </rPr>
      <t>Samlet eksponeringsmål</t>
    </r>
  </si>
  <si>
    <t>Skema EU LR2 - LRCom Oplysninger om gearingsgrad — fælles regler</t>
  </si>
  <si>
    <t>Gearingsgradrelevante eksponeringer, jf. CRR</t>
  </si>
  <si>
    <t>Balanceførte eksponeringer (ekskl. derivater og SFT'er)</t>
  </si>
  <si>
    <t>Balanceførte poster (ekskl. derivater og SFT'er, men inkl. sikkerhedsstillelse)</t>
  </si>
  <si>
    <t>Gross-up for sikkerhedsstillelse i forbindelse med derivatkontrakter, hvis fratrukket i de balanceførte aktiver i henhold til de gældende regnskabsregler</t>
  </si>
  <si>
    <t>(Fradrag af aktiver i form af fordringer for likvid variationsmargen stillet i forbindelse med derivattransaktioner)</t>
  </si>
  <si>
    <t>(Justering for værdipapirer modtaget i værdipapirfinansieringstransaktioner, og som indregnes som aktiver)</t>
  </si>
  <si>
    <t>(Generelle kreditrisikojusteringer i forbindelse med balanceførte poster)</t>
  </si>
  <si>
    <t>(Værdien af aktiver fratrukket ved opgørelsen af kernekapital)</t>
  </si>
  <si>
    <t xml:space="preserve">Samlede balanceførte eksponeringer (ekskl. derivater og SFT'er) </t>
  </si>
  <si>
    <t>Derivateksponeringer</t>
  </si>
  <si>
    <t>Genanskaffelsesomkostninger i forbindelse med derivattransaktioner opgjort efter standardmetoden for modpartskreditrisiko (dvs. fratrukket godkendt likvid variationsmargen)</t>
  </si>
  <si>
    <t>EU-8a</t>
  </si>
  <si>
    <t>Undtagelse for derivater: genanskaffelsesomkostningsandel i henhold til den forenklede standardmetode</t>
  </si>
  <si>
    <t xml:space="preserve">Tillægsbeløb for potentiel fremtidig eksponering knyttet til derivattransaktioner opgjort efter standardmetoden for modpartskreditrisiko </t>
  </si>
  <si>
    <t>EU-9a</t>
  </si>
  <si>
    <t>Undtagelse for derivater: andel af potentiel fremtidig eksponering i henhold til den forenklede standardmetode</t>
  </si>
  <si>
    <t>EU-9b</t>
  </si>
  <si>
    <t>Eksponering bestemt efter den oprindelige eksponeringsmetode</t>
  </si>
  <si>
    <t>(Ikke medregnet CCP-element af kundeclearede handelseksponeringer) (standardmetode for modpartskreditrisiko)</t>
  </si>
  <si>
    <t>EU-10a</t>
  </si>
  <si>
    <r>
      <rPr>
        <sz val="11"/>
        <color theme="1"/>
        <rFont val="Calibri"/>
        <family val="2"/>
        <scheme val="minor"/>
      </rPr>
      <t>(Ikke medregnet CCP-element af kundeclearede handelseksponeringer) (forenklet standardmetode)</t>
    </r>
  </si>
  <si>
    <t>EU-10b</t>
  </si>
  <si>
    <r>
      <rPr>
        <sz val="11"/>
        <color theme="1"/>
        <rFont val="Calibri"/>
        <family val="2"/>
        <scheme val="minor"/>
      </rPr>
      <t>(-) Ikke medregnet CCP-element af kundeclearede handelseksponeringer (oprindelig eksponeringsmetode)</t>
    </r>
  </si>
  <si>
    <t>Justeret faktisk nominel værdi af solgte kreditderivater</t>
  </si>
  <si>
    <t>(Justerede faktiske nominelle værdijusteringer og fradrag af tillæg for solgte kreditderivater)</t>
  </si>
  <si>
    <t xml:space="preserve">Derivateksponeringer i alt </t>
  </si>
  <si>
    <t>Eksponeringer i forbindelse med værdipapirfinansieringstransaktioner (SFT)</t>
  </si>
  <si>
    <t>Bruttoaktiver, der er indgået i SFT'er (uden netting), efter justering for regnskabsmæssige transaktioner vedrørende salg</t>
  </si>
  <si>
    <t>(Kontantgæld og kontantfordringer (nettede beløb) hidrørende fra bruttoaktiver, der er indgået i SFT'er)</t>
  </si>
  <si>
    <t>Eksponering mod modpartskreditrisiko for SFT-aktiver</t>
  </si>
  <si>
    <t>EU-16a</t>
  </si>
  <si>
    <t>Undtagelse for SFT'er: Modpartskreditrisikoeksponering, jf. artikel 429e, stk. 5, og artikel 222 i CRR</t>
  </si>
  <si>
    <t>Eksponeringer i forbindelse med agenttransaktioner</t>
  </si>
  <si>
    <t>EU-17a</t>
  </si>
  <si>
    <t>(Ikke medregnet CCP-element af kundeclearet SFT-eksponering)</t>
  </si>
  <si>
    <t>Eksponeringer i forbindelse med værdipapirfinansieringstransaktioner i alt</t>
  </si>
  <si>
    <t xml:space="preserve">Andre ikkebalanceførte eksponeringer </t>
  </si>
  <si>
    <t>Ikkebalanceførte eksponeringer til den notionelle bruttoværdi</t>
  </si>
  <si>
    <t>(Justeringer for konvertering til kreditækvivalente beløb)</t>
  </si>
  <si>
    <r>
      <rPr>
        <sz val="11"/>
        <color theme="1"/>
        <rFont val="Calibri"/>
        <family val="2"/>
        <scheme val="minor"/>
      </rPr>
      <t>(Generelle hensættelser fratrukket ved opgørelsen af kernekapital og specifikke hensættelser i forbindelse med ikkebalanceførte eksponeringer)</t>
    </r>
  </si>
  <si>
    <t>Ikkebalanceførte eksponeringer</t>
  </si>
  <si>
    <t>Udelukkede eksponeringer</t>
  </si>
  <si>
    <t>EU-22a</t>
  </si>
  <si>
    <t>(Eksponeringer, som udelukkes fra det samlede eksponeringsmål i overensstemmelse med artikel 429a, stk. 1, litra c), i CRR)</t>
  </si>
  <si>
    <t>EU-22b</t>
  </si>
  <si>
    <t>Eksponeringer, som udelukkes i overensstemmelse med artikel 429a, stk. 1, litra j), i CRR (balanceførte og ikkebalanceførte)</t>
  </si>
  <si>
    <t>EU-22c</t>
  </si>
  <si>
    <t>Offentlige udviklingsbankers (eller enheders) udelukkede eksponeringer — Offentlige investeringer</t>
  </si>
  <si>
    <t>EU-22d</t>
  </si>
  <si>
    <t>Offentlige udviklingsbankers (eller enheders) udelukkede eksponeringer — Støttelån</t>
  </si>
  <si>
    <t>EU-22e</t>
  </si>
  <si>
    <r>
      <rPr>
        <sz val="11"/>
        <color theme="1"/>
        <rFont val="Calibri"/>
        <family val="2"/>
        <scheme val="minor"/>
      </rPr>
      <t>(Udelukkede eksponeringer fra pass through-støttelån gennem ikkeoffentlige udviklingskreditinstitutter (eller (enheder))</t>
    </r>
  </si>
  <si>
    <t>EU-22f</t>
  </si>
  <si>
    <t xml:space="preserve">(Udelukkede garanterede dele af eksponeringer, der følger af eksportkreditter) </t>
  </si>
  <si>
    <t>EU-22g</t>
  </si>
  <si>
    <t>(Udelukket overskydende sikkerhedsstillelse deponeret hos trepartsagenter)</t>
  </si>
  <si>
    <t>EU-22h</t>
  </si>
  <si>
    <t>(Udelukkede bankmæssige accessoriske tjenesteydelser fra værdipapircentraler/institutter i henhold til artikel 429a, stk. 1, litra o), i CRR</t>
  </si>
  <si>
    <t>EU-22i</t>
  </si>
  <si>
    <t>(Udelukkede bankmæssige accessoriske tjenesteydelser fra udpegede institutter i henhold til artikel 429a, stk. 1, litra p), i CRR</t>
  </si>
  <si>
    <t>EU-22j</t>
  </si>
  <si>
    <t>(Reduktion af eksponeringsværdien af forfinansieringslån eller overgangslån)</t>
  </si>
  <si>
    <t>EU-22k</t>
  </si>
  <si>
    <t>(Udelukkede eksponeringer i alt)</t>
  </si>
  <si>
    <t>Kapitalmål og samlet eksponeringsmål</t>
  </si>
  <si>
    <r>
      <rPr>
        <sz val="11"/>
        <color theme="1"/>
        <rFont val="Calibri"/>
        <family val="2"/>
        <scheme val="minor"/>
      </rPr>
      <t>Gearingsgrad (%)</t>
    </r>
  </si>
  <si>
    <t>EU-25</t>
  </si>
  <si>
    <t>Gearingsgrad (ekskl. virkningen af undtagelsen af offentlige investeringer og støttelån) (%)</t>
  </si>
  <si>
    <t>25a</t>
  </si>
  <si>
    <r>
      <rPr>
        <sz val="11"/>
        <color theme="1"/>
        <rFont val="Calibri"/>
        <family val="2"/>
        <scheme val="minor"/>
      </rPr>
      <t>Gearingsgrad (ekskl. virkningen af midlertidige undtagelser af centralbankreserver) (%)</t>
    </r>
  </si>
  <si>
    <t>Lovpligtig minimumsgearingsgradkrav (%)</t>
  </si>
  <si>
    <t>EU-26a</t>
  </si>
  <si>
    <t>EU-26b</t>
  </si>
  <si>
    <t xml:space="preserve">     heraf: i form af egentlig kernekapital</t>
  </si>
  <si>
    <t>EU-27a</t>
  </si>
  <si>
    <t>Valg af overgangsordninger og relevante eksponeringer</t>
  </si>
  <si>
    <r>
      <rPr>
        <sz val="11"/>
        <color theme="1"/>
        <rFont val="Calibri"/>
        <family val="2"/>
        <scheme val="minor"/>
      </rPr>
      <t>EU-27b</t>
    </r>
  </si>
  <si>
    <t>Valg af overgangsordninger for definitionen af kapitalmålet</t>
  </si>
  <si>
    <t>Offentliggørelse af gennemsnitsværdier</t>
  </si>
  <si>
    <r>
      <rPr>
        <sz val="11"/>
        <color theme="1"/>
        <rFont val="Calibri"/>
        <family val="2"/>
        <scheme val="minor"/>
      </rPr>
      <t>Gennemsnit af daglige værdier af bruttoaktiver, der er indgået i SFT'er, efter justering for regnskabsmæssige transaktioner vedrørende salg og modregning af relaterede likvide forpligtelser og likvide tilgodehavender</t>
    </r>
  </si>
  <si>
    <t>Kvartalsultimoværdi af bruttoaktiver, der er indgået i SFT'er, efter justering for regnskabsmæssige transaktioner vedrørende salg og modregning af relaterede likvide forpligtelser og likvide tilgodehavender</t>
  </si>
  <si>
    <r>
      <rPr>
        <sz val="11"/>
        <color theme="1"/>
        <rFont val="Calibri"/>
        <family val="2"/>
        <scheme val="minor"/>
      </rPr>
      <t>Samlet eksponeringsmål (inkl. virkningen af midlertidige undtagelser af centralbankreserver), omfattende gennemsnitsværdier fra række 28 af bruttoaktiver, der er indgået i SFT'er (efter justering for regnskabsmæssige transaktioner vedrørende salg og modregning af relaterede likvide forpligtelser og likvide tilgodehavender)</t>
    </r>
  </si>
  <si>
    <t>30a</t>
  </si>
  <si>
    <r>
      <rPr>
        <sz val="11"/>
        <color theme="1"/>
        <rFont val="Calibri"/>
        <family val="2"/>
        <scheme val="minor"/>
      </rPr>
      <t>Samlet eksponeringsmål (ekskl. virkningen af midlertidige undtagelser af centralbankreserver), omfattende gennemsnitsværdier fra række 28 af bruttoaktiver, der er indgået i SFT'er (efter justering for regnskabsmæssige transaktioner vedrørende salg og modregning af relaterede likvide forpligtelser og likvide tilgodehavender)</t>
    </r>
  </si>
  <si>
    <t>Gearingsgrad (inkl. virkningen af midlertidige undtagelser af centralbankreserver), omfattende gennemsnitsværdier fra række 28 af bruttoaktiver, der er indgået i SFT'er (efter justering for regnskabsmæssige transaktioner vedrørende salg og modregning af relaterede likvide forpligtelser og likvide tilgodehavender)</t>
  </si>
  <si>
    <t>31a</t>
  </si>
  <si>
    <t>Gearingsgrad (ekskl. virkningen af midlertidige undtagelser af centralbankreserver), omfattende gennemsnitsværdier fra række 28 af bruttoaktiver, der er indgået i SFT'er (efter justering for regnskabsmæssige transaktioner vedrørende salg og modregning af relaterede likvide forpligtelser og likvide tilgodehavender)</t>
  </si>
  <si>
    <t>Skema EU LR3 - LRSpl: Opdeling af balanceførte eksponeringer (ekskl. derivater, SFT'er og ikke medregnede eksponeringer)</t>
  </si>
  <si>
    <t>EU-1</t>
  </si>
  <si>
    <t>Samlede balanceførte eksponeringer (ekskl. derivater, SFT'er og ikke medregnede eksponeringer), heraf:</t>
  </si>
  <si>
    <t>EU-2</t>
  </si>
  <si>
    <t>Eksponeringer i handelsbeholdningen</t>
  </si>
  <si>
    <t>EU-3</t>
  </si>
  <si>
    <t>Eksponeringer uden for handelsbeholdningen, heraf:</t>
  </si>
  <si>
    <t>EU-4</t>
  </si>
  <si>
    <t>Særligt dækkede obligationer og særligt dækkede realkreditobligationer</t>
  </si>
  <si>
    <t>EU-5</t>
  </si>
  <si>
    <t>Eksponeringer, der behandles som eksponeringer mod stater</t>
  </si>
  <si>
    <t>EU-6</t>
  </si>
  <si>
    <t>Eksponeringer mod regionale myndigheder, multilaterale udviklingsbanker, internationale organisationer og offentlige enheder, der ikke behandles som stater</t>
  </si>
  <si>
    <t>EU-7</t>
  </si>
  <si>
    <t>Institutter</t>
  </si>
  <si>
    <t>EU-8</t>
  </si>
  <si>
    <t>Sikret ved pant i fast ejendom</t>
  </si>
  <si>
    <t>EU-9</t>
  </si>
  <si>
    <t>Detaileksponeringer</t>
  </si>
  <si>
    <t>EU-10</t>
  </si>
  <si>
    <t>Selskaber</t>
  </si>
  <si>
    <t>EU-11</t>
  </si>
  <si>
    <t>Misligholdte eksponeringer</t>
  </si>
  <si>
    <t>EU-12</t>
  </si>
  <si>
    <t>Andre eksponeringer (f.eks. aktieeksponeringer, securitiseringer og andre aktiver, der ikke er gældsforpligtelser)</t>
  </si>
  <si>
    <t>Skema EU LIQ1 - Kvantitative oplysninger om likviditetsdækningsgrad</t>
  </si>
  <si>
    <t>Uvægtet værdi i alt (gennemsnit)</t>
  </si>
  <si>
    <t>Vægtet værdi i alt (gennemsnit)</t>
  </si>
  <si>
    <t>EU 1a</t>
  </si>
  <si>
    <t>Kvartalsafslutning den (DD måned ÅÅÅÅ)</t>
  </si>
  <si>
    <t>EU 1b</t>
  </si>
  <si>
    <t>Antal datapunkter, der anvendes i beregningen af gennemsnit</t>
  </si>
  <si>
    <t>LIKVIDE AKTIVER AF HØJ KVALITET</t>
  </si>
  <si>
    <t>Likvide aktiver af høj kvalitet (HQLA) i alt</t>
  </si>
  <si>
    <t>UDGÅENDE PENGESTRØMME</t>
  </si>
  <si>
    <t>Detailindskud og indskud fra små erhvervskunder, heraf:</t>
  </si>
  <si>
    <t>Stabile indskud</t>
  </si>
  <si>
    <t>Mindre stabile indskud</t>
  </si>
  <si>
    <t>Usikret engrosfinansiering</t>
  </si>
  <si>
    <t>Transaktionsrelaterede indskud (alle modparter) og indskud i netværk af kooperative banker</t>
  </si>
  <si>
    <t>Ikketransaktionsrelaterede indskud (alle modparter)</t>
  </si>
  <si>
    <t>Usikret gæld</t>
  </si>
  <si>
    <t>Sikret engrosfinansiering</t>
  </si>
  <si>
    <t>Yderligere krav</t>
  </si>
  <si>
    <t>Udgående pengestrømme vedrørende derivateksponeringer og andre krav til sikkerhedsstillelse</t>
  </si>
  <si>
    <t>Udgående pengestrømme vedrørende tabt finansiering fra gældsprodukter</t>
  </si>
  <si>
    <t>Kredit- og likviditetsfaciliteter</t>
  </si>
  <si>
    <t>Andre kontraktmæssige finansieringsforpligtelser</t>
  </si>
  <si>
    <t>Øvrige forpligtelser vedrørende eventualfinansiering</t>
  </si>
  <si>
    <t>UDGÅENDE PENGESTRØMME I ALT</t>
  </si>
  <si>
    <t>Sikrede udlån (f.eks. reverse repos)</t>
  </si>
  <si>
    <t>Indgående pengestrømme fra eksponeringer, der ikke er misligholdt</t>
  </si>
  <si>
    <t>Andre indgående pengestrømme</t>
  </si>
  <si>
    <t>EU-19a</t>
  </si>
  <si>
    <t>(Forskel mellem vægtede indgående pengestrømme i alt og vægtede udgående pengestrømme i alt, som opstår som følge af transaktioner i tredjelande, hvor der er overførselsrestriktioner, eller som er denomineret i ikkekonvertible valutaer)</t>
  </si>
  <si>
    <t>EU-19b</t>
  </si>
  <si>
    <t>(Overskydende indgående pengestrømme fra et tilknyttet specialiseret kreditinstitut)</t>
  </si>
  <si>
    <t>INDGÅENDE PENGESTRØMME I ALT</t>
  </si>
  <si>
    <t>Helt undtagne indgående pengestrømme</t>
  </si>
  <si>
    <t>Indgående pengestrømme underlagt loft på 90 %</t>
  </si>
  <si>
    <t>Indgående pengestrømme underlagt loft på 75 %</t>
  </si>
  <si>
    <t xml:space="preserve">JUSTERET VÆRDI I ALT </t>
  </si>
  <si>
    <t>EU-21</t>
  </si>
  <si>
    <t>LIKVIDITETSBUFFER</t>
  </si>
  <si>
    <t>UDGÅENDE NETTOPENGESTRØMME I ALT</t>
  </si>
  <si>
    <t>LIKVIDITETSDÆKNINGSGRAD</t>
  </si>
  <si>
    <t xml:space="preserve">Skema EU LIQ2: Net stable funding ratio </t>
  </si>
  <si>
    <t>I overensstemmelse med artikel 451a, stk. 3, i CRR</t>
  </si>
  <si>
    <t>Uvægtet værdi efter restløbetid</t>
  </si>
  <si>
    <t>Vægtet værdi</t>
  </si>
  <si>
    <t>Ingen løbetid</t>
  </si>
  <si>
    <t>&lt; 6 måneder</t>
  </si>
  <si>
    <t>6 måneder til &lt; 1 år</t>
  </si>
  <si>
    <t>≥ 1 år</t>
  </si>
  <si>
    <t>Poster vedrørende tilgængelig stabil finansiering (ASF)</t>
  </si>
  <si>
    <t>Kapitalposter og -instrumenter</t>
  </si>
  <si>
    <t>Kapitalgrundlag</t>
  </si>
  <si>
    <t>Andre kapitalinstrumenter</t>
  </si>
  <si>
    <t>Detailindskud</t>
  </si>
  <si>
    <t>Engrosfinansiering:</t>
  </si>
  <si>
    <t>Transaktionsrelaterede indskud</t>
  </si>
  <si>
    <t>Anden engrosfinansiering</t>
  </si>
  <si>
    <t>Indbyrdes afhængige passiver</t>
  </si>
  <si>
    <t xml:space="preserve">Andre passiver: </t>
  </si>
  <si>
    <t xml:space="preserve">NSFR-derivatforpligtelser </t>
  </si>
  <si>
    <t>Alle øvrige passiver og kapitalinstrumenter, der ikke indgår i ovenstående kategorier</t>
  </si>
  <si>
    <t>Tilgængelig stabil finansiering (ASF) i alt</t>
  </si>
  <si>
    <t>Poster vedrørende krævet stabil finansiering (RSF)</t>
  </si>
  <si>
    <t>EU-15a</t>
  </si>
  <si>
    <t>Aktiver, der er behæftede for en restløbetid på et år eller mere i en sikkerhedspulje</t>
  </si>
  <si>
    <t>Indskud i andre finansielle institutter til transaktionsrelaterede formål</t>
  </si>
  <si>
    <t>Ikkemisligholdte lån og værdipapirer:</t>
  </si>
  <si>
    <t>Værdipapirfinansieringstransaktioner, der ikke er misligholdt, med finansielle kunder, og som er sikret ved likvide aktiver af høj kvalitet på niveau 1, der er underlagt et haircut på 0 %</t>
  </si>
  <si>
    <r>
      <rPr>
        <i/>
        <sz val="11"/>
        <color theme="1"/>
        <rFont val="Calibri"/>
        <family val="2"/>
        <scheme val="minor"/>
      </rPr>
      <t>Værdipapirfinansieringstransaktioner med finansielle kunder, der ikke er misligholdt, og som er sikret ved andre aktiver og lån og forskud til finansieringsinstitutter</t>
    </r>
  </si>
  <si>
    <r>
      <rPr>
        <i/>
        <sz val="11"/>
        <color theme="1"/>
        <rFont val="Calibri"/>
        <family val="2"/>
        <scheme val="minor"/>
      </rPr>
      <t>Lån, der ikke er misligholdt, til ikkefinansielle erhvervskunder, til detailkunder og små erhvervskunder og til stater og offentlige enheder, heraf:</t>
    </r>
  </si>
  <si>
    <t>Med en risikovægt på mindre end eller lig med 35 % i henhold til Basel II-standardmetoden for kreditrisiko</t>
  </si>
  <si>
    <t xml:space="preserve">Ikkemisligholdte realkreditlån i beboelsesejendomme, heraf: </t>
  </si>
  <si>
    <t>Andre lån og værdipapirer, der ikke er misligholdt, og som ikke kan betragtes som likvide aktiver af høj kvalitet, herunder børsnoterede aktier og balanceførte handelsfinansieringsprodukter</t>
  </si>
  <si>
    <t>Indbyrdes afhængige aktiver</t>
  </si>
  <si>
    <t xml:space="preserve">Andre aktiver: </t>
  </si>
  <si>
    <t>Fysisk handlede råvarer</t>
  </si>
  <si>
    <t>Aktiver stillet som initialmargen for derivatkontrakter og bidrag til CCP'ers misligholdelsesfonde</t>
  </si>
  <si>
    <r>
      <rPr>
        <i/>
        <sz val="11"/>
        <color theme="1"/>
        <rFont val="Calibri"/>
        <family val="2"/>
        <scheme val="minor"/>
      </rPr>
      <t>NSFR-derivataktiver</t>
    </r>
    <r>
      <rPr>
        <sz val="11"/>
        <color theme="1"/>
        <rFont val="Calibri"/>
        <family val="2"/>
        <scheme val="minor"/>
      </rPr>
      <t> </t>
    </r>
  </si>
  <si>
    <t xml:space="preserve">NSFR-derivatforpligtelser før fradrag af stillet variationsmargen </t>
  </si>
  <si>
    <t>Alle øvrige aktiver, der ikke indgår i ovenstående kategorier</t>
  </si>
  <si>
    <t>Ikkebalanceførte poster</t>
  </si>
  <si>
    <t>Net stable funding ratio (%)</t>
  </si>
  <si>
    <t xml:space="preserve">Skema EU CR1: Ikkemisligholdte og misligholdte eksponeringer og dertil knyttede bestemmelser. </t>
  </si>
  <si>
    <t>o</t>
  </si>
  <si>
    <t>Regnskabsmæssig bruttoværdi/nominel værdi</t>
  </si>
  <si>
    <t>Akkumulerede værdiforringelser, akkumulerede negative ændringer i dagsværdi på grund af kreditrisiko og hensættelser</t>
  </si>
  <si>
    <t>Akkumulerede delvise afskrivninger</t>
  </si>
  <si>
    <t>Sikkerhedsstillelser og modtagne finansielle garantier</t>
  </si>
  <si>
    <t>Ikkemisligholdte eksponeringer</t>
  </si>
  <si>
    <t>Ikkemisligholdte eksponeringer – akkumulerede værdiforringelser og hensættelser</t>
  </si>
  <si>
    <t xml:space="preserve">Misligholdte eksponeringer – akkumulerede værdiforringelser, akkumulerede negative ændringer i dagsværdi på grund af kreditrisiko og hensættelser </t>
  </si>
  <si>
    <t>Heraf fase 1</t>
  </si>
  <si>
    <t>Heraf fase 2</t>
  </si>
  <si>
    <t>Heraf fase 3</t>
  </si>
  <si>
    <t>005</t>
  </si>
  <si>
    <t>Kassebeholdninger i centralbanker og andre anfordringsindskud</t>
  </si>
  <si>
    <t>Lån og forskud</t>
  </si>
  <si>
    <t>Centralbanker</t>
  </si>
  <si>
    <t>030</t>
  </si>
  <si>
    <t>Centralregeringer</t>
  </si>
  <si>
    <t>040</t>
  </si>
  <si>
    <t>Kreditinstitutter</t>
  </si>
  <si>
    <t>050</t>
  </si>
  <si>
    <t>Andre finansielle selskaber</t>
  </si>
  <si>
    <t>060</t>
  </si>
  <si>
    <t>Ikkefinansielle selskaber</t>
  </si>
  <si>
    <t>070</t>
  </si>
  <si>
    <t xml:space="preserve">          Heraf SMV'er</t>
  </si>
  <si>
    <t>080</t>
  </si>
  <si>
    <t>Husstande</t>
  </si>
  <si>
    <t>090</t>
  </si>
  <si>
    <t>Gældsværdipapirer</t>
  </si>
  <si>
    <t>100</t>
  </si>
  <si>
    <t>110</t>
  </si>
  <si>
    <t>120</t>
  </si>
  <si>
    <t>130</t>
  </si>
  <si>
    <t>140</t>
  </si>
  <si>
    <t>150</t>
  </si>
  <si>
    <t>160</t>
  </si>
  <si>
    <t>170</t>
  </si>
  <si>
    <t>180</t>
  </si>
  <si>
    <t>190</t>
  </si>
  <si>
    <t>200</t>
  </si>
  <si>
    <t>210</t>
  </si>
  <si>
    <t>220</t>
  </si>
  <si>
    <t>Skema EU CR1-A: Løbetid på eksponeringer</t>
  </si>
  <si>
    <t>Nettoeksponeringsværdi</t>
  </si>
  <si>
    <t>På anfordring</t>
  </si>
  <si>
    <t>&lt;= 1 år</t>
  </si>
  <si>
    <t>&gt; 1 år &lt;= 5 år</t>
  </si>
  <si>
    <t>&gt; 5 år</t>
  </si>
  <si>
    <t>Ingen fastsat løbetid</t>
  </si>
  <si>
    <t>Skema EU CR2: Ændringer i beholdningen af misligholdte lån og forskud</t>
  </si>
  <si>
    <t xml:space="preserve">Regnskabsmæssig bruttoværdi               </t>
  </si>
  <si>
    <t>Oprindelig beholdning af misligholdte lån og forskud</t>
  </si>
  <si>
    <t>Indgående pengestrømme til misligholdte porteføljer</t>
  </si>
  <si>
    <t>Udgående pengestrømme fra misligholdte porteføljer</t>
  </si>
  <si>
    <t>Udgående pengestrømme som følge af afskrivninger</t>
  </si>
  <si>
    <t>Udgående pengestrøm, andre situationer</t>
  </si>
  <si>
    <t>Slutbeholdning af misligholdte lån og forskud</t>
  </si>
  <si>
    <t>Skema EU CR2a: Ændringer i beholdningen af misligholdte lån og forskud og akkumulerede inddrevne nettobeløb i forbindelse hermed</t>
  </si>
  <si>
    <t>Akkumulerede inddrevne nettobeløb i forbindelse hermed</t>
  </si>
  <si>
    <t>Udgående pengestrøm til ikkemisligholdt portefølje</t>
  </si>
  <si>
    <t>Udgående pengestrøm som følge af delvis eller hel tilbagebetaling af lån</t>
  </si>
  <si>
    <t>Udgående pengestrøm som følge af likvidation af sikkerhedsstillelse</t>
  </si>
  <si>
    <t>Udgående pengestrøm som følge af overtagelse af sikkerhedsstillelse</t>
  </si>
  <si>
    <t>Udgående pengestrøm som følge af salg af instrumenter</t>
  </si>
  <si>
    <t>Udgående pengestrøm som følge af risikooverførsler</t>
  </si>
  <si>
    <t>Udgående pengestrøm som følge af omklassificering til besiddelse med henblik på salg</t>
  </si>
  <si>
    <t>Skema EU CQ1: Kreditkvalitet af eksponeringer med kreditlempelser</t>
  </si>
  <si>
    <t>Regnskabsmæssig bruttoværdi/nominel værdi af eksponeringer med kreditlempelser</t>
  </si>
  <si>
    <t>Sikkerhedsstillelser og finansielle garantier modtaget for eksponeringer med kreditlempelser</t>
  </si>
  <si>
    <t>På ikkemisligholdte eksponeringer med kreditlempelser</t>
  </si>
  <si>
    <t>På misligholdte eksponeringer med kreditlempelser</t>
  </si>
  <si>
    <t>Heraf sikkerhedsstillelser og finansielle garantier modtaget for misligholdte eksponeringer med kreditlempelser</t>
  </si>
  <si>
    <t>Afgivne lånetilsagn</t>
  </si>
  <si>
    <t>Skema EU CQ2: Kvalitet af kreditlempelser</t>
  </si>
  <si>
    <t>Regnskabsmæssig bruttoværdi af eksponeringer med kreditlempelser</t>
  </si>
  <si>
    <t>Lån og forskud med kreditlempelser "mere end to gange"</t>
  </si>
  <si>
    <t>Misligholdte lån og forskud med kreditlempelser, som ikke opfyldte kriterierne for ikke længere at blive kategoriseret som misligholdt</t>
  </si>
  <si>
    <t>Skema EU CQ3: Kreditkvalitet af ikkemisligholdte og misligholdte eksponeringer efter forfaldsdage</t>
  </si>
  <si>
    <t>Forfaldne &gt; 30 dage ≤ 90 dage</t>
  </si>
  <si>
    <t>Betales sandsynligvis ikke, men er ikke forfaldne eller har været forfaldne i ≤ 90 dage</t>
  </si>
  <si>
    <t xml:space="preserve">Forfaldne
&gt; 90 dage
≤ 180 dage
</t>
  </si>
  <si>
    <t xml:space="preserve">Forfaldne
&gt; 180 dage
≤ 1 år
</t>
  </si>
  <si>
    <t xml:space="preserve">Forfaldne
&gt; 1 år ≤ 2 år
</t>
  </si>
  <si>
    <t xml:space="preserve">Forfaldne
&gt; 2 år ≤ 5 år
</t>
  </si>
  <si>
    <t xml:space="preserve">Forfaldne
&gt; 5 år ≤ 7 år
</t>
  </si>
  <si>
    <t>Forfaldne &gt; 7 år</t>
  </si>
  <si>
    <t xml:space="preserve">      Heraf SMV'er</t>
  </si>
  <si>
    <r>
      <rPr>
        <sz val="8.5"/>
        <color theme="1"/>
        <rFont val="Segoe UI"/>
        <family val="2"/>
      </rPr>
      <t>f</t>
    </r>
    <r>
      <rPr>
        <sz val="8"/>
        <color theme="1"/>
        <rFont val="Calibri"/>
        <family val="2"/>
        <scheme val="minor"/>
      </rPr>
      <t> </t>
    </r>
  </si>
  <si>
    <t>Hensættelser vedrørende ikkebalanceførte afgivne tilsagn og finansielle garantier</t>
  </si>
  <si>
    <t>Akkumulerede negative ændringer i dagsværdi på grund af kreditrisiko vedrørende misligholdte eksponeringer</t>
  </si>
  <si>
    <t>Heraf misligholdte eksponeringer</t>
  </si>
  <si>
    <t>Balanceførte eksponeringer</t>
  </si>
  <si>
    <t>Land 1</t>
  </si>
  <si>
    <t>Land 2</t>
  </si>
  <si>
    <t>Land 3</t>
  </si>
  <si>
    <t>Land 4</t>
  </si>
  <si>
    <t>Land N</t>
  </si>
  <si>
    <t>Andre lande</t>
  </si>
  <si>
    <t>Skema EU CQ5: Kreditkvalitet af lån og forskud til ikkefinansielle selskaber efter branche</t>
  </si>
  <si>
    <t>Regnskabsmæssig bruttoværdi</t>
  </si>
  <si>
    <t>Heraf lån og forskud, der testes for værdiforringelse</t>
  </si>
  <si>
    <t>Landbrug, skovbrug og fiskeri</t>
  </si>
  <si>
    <t>Råstofudvinding</t>
  </si>
  <si>
    <t>Fremstilling</t>
  </si>
  <si>
    <t>El-, gas- og fjernvarmeforsyning</t>
  </si>
  <si>
    <t>Vandforsyning</t>
  </si>
  <si>
    <t>Bygge- og anlægsvirksomhed</t>
  </si>
  <si>
    <t>Engros- og detailhandel</t>
  </si>
  <si>
    <t>Transport og lagring</t>
  </si>
  <si>
    <t>Overnatningsfaciliteter og restaurationsvirksomhed</t>
  </si>
  <si>
    <t>Information og kommunikation</t>
  </si>
  <si>
    <t>Pengeinstitut- og finansvirksomhed, forsikring</t>
  </si>
  <si>
    <t>Forvaltning af og handel med ejendomme</t>
  </si>
  <si>
    <t>Liberale, videnskabelige og tekniske tjenesteydelser</t>
  </si>
  <si>
    <t>Administrative tjenesteydelser og hjælpetjenester</t>
  </si>
  <si>
    <t>Offentlig forvaltning, forsvar og socialsikring</t>
  </si>
  <si>
    <t>Undervisning</t>
  </si>
  <si>
    <t>Sundhedsvæsen og sociale foranstaltninger</t>
  </si>
  <si>
    <t>Kultur, forlystelser og fritid</t>
  </si>
  <si>
    <t>Andre tjenesteydelser</t>
  </si>
  <si>
    <t xml:space="preserve">Skema EU CQ6: Værdiansættelse af sikkerhedsstillelse - lån og forskud </t>
  </si>
  <si>
    <t>Ikkemisligholdte</t>
  </si>
  <si>
    <t>Misligholdte</t>
  </si>
  <si>
    <t>Forfaldne &gt; 90 dage</t>
  </si>
  <si>
    <r>
      <rPr>
        <sz val="8.5"/>
        <color theme="1"/>
        <rFont val="Segoe UI"/>
        <family val="2"/>
      </rPr>
      <t>Heraf:</t>
    </r>
    <r>
      <rPr>
        <sz val="8.5"/>
        <color theme="1"/>
        <rFont val="Segoe UI"/>
        <family val="2"/>
      </rPr>
      <t xml:space="preserve"> </t>
    </r>
    <r>
      <rPr>
        <sz val="11"/>
        <color theme="1"/>
        <rFont val="Calibri"/>
        <family val="2"/>
        <scheme val="minor"/>
      </rPr>
      <t>forfaldne &gt; 1 år ≤ 2 år</t>
    </r>
  </si>
  <si>
    <t>Heraf: forfaldne &gt; 2 år ≤ 5 år</t>
  </si>
  <si>
    <t>Heraf: forfaldne &gt; 5 år ≤ 7 år</t>
  </si>
  <si>
    <t>Heraf sikrede</t>
  </si>
  <si>
    <t>Heraf sikret ved pant i fast ejendom</t>
  </si>
  <si>
    <t>Heraf instrumenter med en belåningsgrad på over 60 % og under eller lig med 80 %</t>
  </si>
  <si>
    <t>Heraf instrumenter med en belåningsgrad på over 80 % og under eller lig med 100 %</t>
  </si>
  <si>
    <t>Heraf instrumenter med en belåningsgrad på over 100 %</t>
  </si>
  <si>
    <t>Akkumuleret værdiforringelse for sikrede aktiver</t>
  </si>
  <si>
    <t>Sikkerhedsstillelse</t>
  </si>
  <si>
    <t>Heraf værdi begrænset til eksponeringens værdi</t>
  </si>
  <si>
    <t>Heraf fast ejendom</t>
  </si>
  <si>
    <t>Heraf værdi over loftet</t>
  </si>
  <si>
    <t>Modtagne finansielle garantier</t>
  </si>
  <si>
    <t xml:space="preserve">Skema EU CQ7: Sikkerhedsstillelse opnået gennem overtagelse og fuldbyrdelsesprocesser </t>
  </si>
  <si>
    <t xml:space="preserve">Sikkerhedsstillelse opnået gennem overtagelse </t>
  </si>
  <si>
    <t>Værdi ved første indregning</t>
  </si>
  <si>
    <t>Akkumulerede negative ændringer</t>
  </si>
  <si>
    <t>Materielle anlægsaktiver</t>
  </si>
  <si>
    <t>Bortset fra immaterielle anlægsaktiver</t>
  </si>
  <si>
    <t>Beboelsesejendomme</t>
  </si>
  <si>
    <t>Erhvervsejendomme</t>
  </si>
  <si>
    <t>Løsøre (køretøjer, skibe osv.)</t>
  </si>
  <si>
    <t>Egenkapital- og gældsinstrumenter</t>
  </si>
  <si>
    <t>Anden sikkerhedsstillelse</t>
  </si>
  <si>
    <t>Skema EU CQ8: Sikkerhedsstillelse opnået gennem overtagelse og fuldbyrdelsesprocesser – opdeling efter årgang</t>
  </si>
  <si>
    <t>Gældsbalancereduktion</t>
  </si>
  <si>
    <t>Sikkerhedsstillelse opnået gennem overtagelse i alt</t>
  </si>
  <si>
    <t>Overtaget ≤ 2 år</t>
  </si>
  <si>
    <t>Overtaget &gt; 2 år ≤ 5 år</t>
  </si>
  <si>
    <t>Overtaget &gt; 5 år</t>
  </si>
  <si>
    <t>Heraf anlægsaktiver, som besiddes med henblik på salg</t>
  </si>
  <si>
    <t>Sikkerhedsstillelse opnået ved overtagelse, klassificeret som materielle anlægsaktiver</t>
  </si>
  <si>
    <t>Sikkerhedsstillelse opnået ved overtagelse, bortset fra klassificeret som materielle anlægsaktiver</t>
  </si>
  <si>
    <t>Skema EU CQ4: Kvaliteten af misligholdte eksponeringer efter geografisk placering </t>
  </si>
  <si>
    <t>Skema EU CR3 - Overblik over kreditrisikoreduktionsteknikker  Offentliggørelse af anvendelsen af kreditrisikoreduktionsteknikker</t>
  </si>
  <si>
    <t xml:space="preserve">Usikret regnskabsmæssig værdi </t>
  </si>
  <si>
    <t>Sikret regnskabsmæssig værdi</t>
  </si>
  <si>
    <t xml:space="preserve">Gældsværdipapirer </t>
  </si>
  <si>
    <t>  </t>
  </si>
  <si>
    <t xml:space="preserve">     Heraf misligholdte eksponeringer</t>
  </si>
  <si>
    <t xml:space="preserve">            Heraf misligholdte </t>
  </si>
  <si>
    <t>Skema EU CR4 — Standardmetode — Kreditrisikoeksponering og virkninger af kreditrisikoreduktionsteknikker</t>
  </si>
  <si>
    <t xml:space="preserve"> Eksponeringsklasser</t>
  </si>
  <si>
    <t>Eksponeringer inden kreditkonvertingsfaktorer og inden kreditrisikoreduktionsteknikker</t>
  </si>
  <si>
    <t>Eksponeringer efter konverteringsfaktorer og efter kreditrisikoreduktionsteknikker</t>
  </si>
  <si>
    <t>Risikovægtede aktiver og tæthed af risikovægtede aktiver</t>
  </si>
  <si>
    <t>Risikovægtede aktiver</t>
  </si>
  <si>
    <t xml:space="preserve">Tæthed af risikovægtede aktiver (%) </t>
  </si>
  <si>
    <t>Centralregeringer eller centralbanker</t>
  </si>
  <si>
    <t>Regionale eller lokale myndigheder</t>
  </si>
  <si>
    <t>Offentlige enheder</t>
  </si>
  <si>
    <t>Multilaterale udviklingsbanker</t>
  </si>
  <si>
    <t>Internationale organisationer</t>
  </si>
  <si>
    <t>Detail</t>
  </si>
  <si>
    <t>Eksponeringer forbundet med særlig høj risiko</t>
  </si>
  <si>
    <t>Institutter og selskaber med kortsigtet kreditvurdering</t>
  </si>
  <si>
    <t>CIU'er</t>
  </si>
  <si>
    <t>Andre poster</t>
  </si>
  <si>
    <t>I ALT</t>
  </si>
  <si>
    <t>Skema CR5 — Standardmetode</t>
  </si>
  <si>
    <t>Risikovægt</t>
  </si>
  <si>
    <t>Heraf ikkeratede</t>
  </si>
  <si>
    <t>Andre</t>
  </si>
  <si>
    <t>p</t>
  </si>
  <si>
    <t>q</t>
  </si>
  <si>
    <t>Eksponeringer sikret ved pant i fast ejendom</t>
  </si>
  <si>
    <t>Eksponeringer mod institutter og selskaber med kortsigtet kreditvurdering</t>
  </si>
  <si>
    <t>Andele eller aktier i CIU'er</t>
  </si>
  <si>
    <t>Aktieeksponeringer</t>
  </si>
  <si>
    <t>Skema EU CR6 — IRB-metoden — kreditrisikoeksponeringer efter eksponeringsklasse og PD-interval</t>
  </si>
  <si>
    <t>A-IRB</t>
  </si>
  <si>
    <t>PD-interval</t>
  </si>
  <si>
    <t>Ikkebalanceførte eksponeringer inden anvendelse af kreditkonverteringsfaktorer</t>
  </si>
  <si>
    <t>Eksponeringsvægtet gennemsnitlig kreditkonverteringsfaktor</t>
  </si>
  <si>
    <t>Eksponeringsvægtet gennemsnitlig PD (%)</t>
  </si>
  <si>
    <t>Antal låntagere</t>
  </si>
  <si>
    <t>Eksponeringsvægtet gennemsnitlig LGD (%)</t>
  </si>
  <si>
    <t>Eksponeringsvægtet gennemsnitlig løbetid (år)</t>
  </si>
  <si>
    <t>Risikovægtet eksponering efter anvendelse af støttefaktorer</t>
  </si>
  <si>
    <t>Densitet af risikovægtede eksponeringer</t>
  </si>
  <si>
    <t>Værdi af forventede tab</t>
  </si>
  <si>
    <t>Værdijusteringer og hensættelser</t>
  </si>
  <si>
    <t>Eksponeringsklasse X</t>
  </si>
  <si>
    <t>0,00 til &lt;0,15</t>
  </si>
  <si>
    <t>0,00 til &lt;0,10</t>
  </si>
  <si>
    <t>0,10 til &lt;0,15</t>
  </si>
  <si>
    <t>0,15 til &lt;0,25</t>
  </si>
  <si>
    <t>0,25 til &lt;0,50</t>
  </si>
  <si>
    <t>0,50 til &lt;0,75</t>
  </si>
  <si>
    <t>0,75 til &lt;2,50</t>
  </si>
  <si>
    <t>0,75 til &lt;1,75</t>
  </si>
  <si>
    <t>1,75 til &lt;2,5</t>
  </si>
  <si>
    <t>2,50 til &lt;10,00</t>
  </si>
  <si>
    <t>2,5 til &lt;5</t>
  </si>
  <si>
    <t>5 til &lt;10</t>
  </si>
  <si>
    <t>10,00 til &lt;100,00</t>
  </si>
  <si>
    <t>10 til &lt;20</t>
  </si>
  <si>
    <t>20 til &lt;30</t>
  </si>
  <si>
    <t>30,00 til &lt;100,00</t>
  </si>
  <si>
    <t>100,00 (misligholdelse)</t>
  </si>
  <si>
    <t>Subtotal (eksponeringsklasse)</t>
  </si>
  <si>
    <t>Total (alle eksponeringsklasser)</t>
  </si>
  <si>
    <t>F-IRB</t>
  </si>
  <si>
    <t>Skema EU CR6-A – IRB-metoden – anvendelsesområdet for IRB-metoden og SA-metoden</t>
  </si>
  <si>
    <t>Eksponeringsværdi som defineret i artikel 166 i CRR for eksponeringer omfattet af IRB-metoden</t>
  </si>
  <si>
    <t>Samlet eksponeringsværdi for eksponeringer omfattet af standardmetoden og IRB-metoden</t>
  </si>
  <si>
    <t>Procentdel af den samlede eksponeringsværdi omfattet af en permanent delvis anvendelse af SA (%)</t>
  </si>
  <si>
    <t>Procentdel af den samlede eksponeringsværdi, der er omfattet af IRB-metoden (%)</t>
  </si>
  <si>
    <t>Procentdel af den samlede eksponeringsværdi, der er omfattet af en roll-out-plan (%)</t>
  </si>
  <si>
    <t xml:space="preserve">Centralregeringer eller centralbanker </t>
  </si>
  <si>
    <t xml:space="preserve">Heraf regionale eller lokale myndigheder </t>
  </si>
  <si>
    <t xml:space="preserve">Heraf offentlige enheder </t>
  </si>
  <si>
    <t>Heraf selskaber — specialiseret långivning, eksklusive omfattet af kategoriseringsmetoden</t>
  </si>
  <si>
    <t>Heraf selskaber — specialiseret långivning omfattet af kategoriseringsmetoden</t>
  </si>
  <si>
    <t>heraf detail — sikret ved pant i fast ejendom SMV'er</t>
  </si>
  <si>
    <t>heraf detail — sikret ved pant i fast ejendom ikke-SMV'er</t>
  </si>
  <si>
    <t>Heraf detail — kvalificeret revolverende</t>
  </si>
  <si>
    <t>Heraf detail — andre SMV'er</t>
  </si>
  <si>
    <t>Heraf detail — andre ikke-SMV'er</t>
  </si>
  <si>
    <t>Andre aktiver, der ikke er gældsforpligtelser</t>
  </si>
  <si>
    <t xml:space="preserve">I alt </t>
  </si>
  <si>
    <t>Skema EU CR7 – IRB-metoden – Virkning af kreditderivater anvendt som CRM-teknikker på de risikovægtede eksponeringer</t>
  </si>
  <si>
    <t>Risikovægtede eksponeringer inden kreditderivater</t>
  </si>
  <si>
    <t>Værdien af den faktiske risikovægtede eksponering</t>
  </si>
  <si>
    <t>Eksponeringer omfattet af F-IRB</t>
  </si>
  <si>
    <t>Centralregeringer og centralbanker</t>
  </si>
  <si>
    <t xml:space="preserve">Selskaber </t>
  </si>
  <si>
    <t>Heraf selskaber — SMV'er</t>
  </si>
  <si>
    <t>Heraf selskaber — specialiseret långivning</t>
  </si>
  <si>
    <t>Eksponeringer omfattet af A-IRB</t>
  </si>
  <si>
    <t xml:space="preserve">  </t>
  </si>
  <si>
    <t xml:space="preserve">heraf detail — SMV'er — med sikkerhed i fast ejendom </t>
  </si>
  <si>
    <t>heraf detail — ikke-SMV'er — med sikkerhed i fast ejendom</t>
  </si>
  <si>
    <t>heraf detail — SMV'er —andre</t>
  </si>
  <si>
    <t>heraf detail — ikke-SMV'er —andre</t>
  </si>
  <si>
    <t>I ALT (herunder F-IRB-eksponeringer og A-IRB-eksponeringer)</t>
  </si>
  <si>
    <t>Skema EU CR7-A – IRB-metoden – Offentliggørelse af omfanget af anvendelsen af kreditrisikoreduktionsteknikker</t>
  </si>
  <si>
    <t xml:space="preserve">Samlede eksponeringer
</t>
  </si>
  <si>
    <t>Kreditrisikoreduktionsteknikker</t>
  </si>
  <si>
    <t>Kreditrisikoreduktionsteknikker ved beregningen af risikovægtede eksponeringer</t>
  </si>
  <si>
    <t>Finansieret kreditrisikoafdækning (FCP)</t>
  </si>
  <si>
    <r>
      <rPr>
        <sz val="8.5"/>
        <color theme="1"/>
        <rFont val="Segoe UI"/>
        <family val="2"/>
      </rPr>
      <t xml:space="preserve"> </t>
    </r>
    <r>
      <rPr>
        <sz val="8.5"/>
        <color theme="1"/>
        <rFont val="Segoe UI"/>
        <family val="2"/>
      </rPr>
      <t>Ufinansieret kreditrisikoafdækning (UFCP)</t>
    </r>
  </si>
  <si>
    <r>
      <rPr>
        <b/>
        <sz val="8.5"/>
        <color theme="1"/>
        <rFont val="Segoe UI"/>
        <family val="2"/>
      </rPr>
      <t>Risikovægtede eksponeringer uden substitutionsvirkninger</t>
    </r>
    <r>
      <rPr>
        <b/>
        <sz val="8.5"/>
        <color theme="1"/>
        <rFont val="Segoe UI"/>
        <family val="2"/>
      </rPr>
      <t xml:space="preserve">
</t>
    </r>
    <r>
      <rPr>
        <sz val="8.5"/>
        <color theme="1"/>
        <rFont val="Segoe UI"/>
        <family val="2"/>
      </rPr>
      <t>(kun reduktionsvirkninger)</t>
    </r>
    <r>
      <rPr>
        <sz val="8.5"/>
        <color theme="1"/>
        <rFont val="Segoe UI"/>
        <family val="2"/>
      </rPr>
      <t xml:space="preserve">
</t>
    </r>
  </si>
  <si>
    <r>
      <rPr>
        <b/>
        <sz val="8.5"/>
        <color theme="1"/>
        <rFont val="Segoe UI"/>
        <family val="2"/>
      </rPr>
      <t>Risikovægtede eksponeringer med substitutionsvirkninger</t>
    </r>
    <r>
      <rPr>
        <b/>
        <sz val="8.5"/>
        <color theme="1"/>
        <rFont val="Segoe UI"/>
        <family val="2"/>
      </rPr>
      <t xml:space="preserve">
</t>
    </r>
    <r>
      <rPr>
        <sz val="8.5"/>
        <color theme="1"/>
        <rFont val="Segoe UI"/>
        <family val="2"/>
      </rPr>
      <t>(både reduktions- og substitutionsvirkninger)</t>
    </r>
    <r>
      <rPr>
        <b/>
        <sz val="8.5"/>
        <color theme="1"/>
        <rFont val="Segoe UI"/>
        <family val="2"/>
      </rPr>
      <t xml:space="preserve">
</t>
    </r>
  </si>
  <si>
    <r>
      <rPr>
        <sz val="8.5"/>
        <color theme="1"/>
        <rFont val="Segoe UI"/>
        <family val="2"/>
      </rPr>
      <t xml:space="preserve"> 
</t>
    </r>
    <r>
      <rPr>
        <sz val="8.5"/>
        <color theme="1"/>
        <rFont val="Segoe UI"/>
        <family val="2"/>
      </rPr>
      <t xml:space="preserve">Andel af eksponeringer, der dækkes af </t>
    </r>
    <r>
      <rPr>
        <b/>
        <sz val="8.5"/>
        <color theme="1"/>
        <rFont val="Segoe UI"/>
        <family val="2"/>
      </rPr>
      <t>finansiel sikkerhedsstillelse (%)</t>
    </r>
  </si>
  <si>
    <r>
      <rPr>
        <sz val="8.5"/>
        <color theme="1"/>
        <rFont val="Segoe UI"/>
        <family val="2"/>
      </rPr>
      <t xml:space="preserve">Andel af eksponeringer, der dækkes af </t>
    </r>
    <r>
      <rPr>
        <b/>
        <sz val="8.5"/>
        <color theme="1"/>
        <rFont val="Segoe UI"/>
        <family val="2"/>
      </rPr>
      <t>anden anerkendt sikkerhedsstillelse (%)</t>
    </r>
  </si>
  <si>
    <r>
      <rPr>
        <sz val="8.5"/>
        <color theme="1"/>
        <rFont val="Segoe UI"/>
        <family val="2"/>
      </rPr>
      <t xml:space="preserve">Andel af eksponeringer, der dækkes af </t>
    </r>
    <r>
      <rPr>
        <b/>
        <sz val="8.5"/>
        <color theme="1"/>
        <rFont val="Segoe UI"/>
        <family val="2"/>
      </rPr>
      <t>anden finansieret kreditrisikoafdækning (%)</t>
    </r>
  </si>
  <si>
    <r>
      <rPr>
        <sz val="8.5"/>
        <color theme="1"/>
        <rFont val="Segoe UI"/>
        <family val="2"/>
      </rPr>
      <t xml:space="preserve">
</t>
    </r>
    <r>
      <rPr>
        <sz val="8.5"/>
        <color theme="1"/>
        <rFont val="Segoe UI"/>
        <family val="2"/>
      </rPr>
      <t xml:space="preserve">Andel af eksponeringer, der dækkes af </t>
    </r>
    <r>
      <rPr>
        <b/>
        <sz val="8.5"/>
        <color theme="1"/>
        <rFont val="Segoe UI"/>
        <family val="2"/>
      </rPr>
      <t>garantier (%)</t>
    </r>
  </si>
  <si>
    <r>
      <rPr>
        <sz val="8.5"/>
        <color theme="1"/>
        <rFont val="Segoe UI"/>
        <family val="2"/>
      </rPr>
      <t xml:space="preserve">Andel af eksponeringer, der dækkes af </t>
    </r>
    <r>
      <rPr>
        <b/>
        <sz val="8.5"/>
        <color theme="1"/>
        <rFont val="Segoe UI"/>
        <family val="2"/>
      </rPr>
      <t>kreditderivater</t>
    </r>
    <r>
      <rPr>
        <sz val="8.5"/>
        <color theme="1"/>
        <rFont val="Segoe UI"/>
        <family val="2"/>
      </rPr>
      <t xml:space="preserve"> (%)</t>
    </r>
  </si>
  <si>
    <r>
      <rPr>
        <sz val="8.5"/>
        <color theme="1"/>
        <rFont val="Segoe UI"/>
        <family val="2"/>
      </rPr>
      <t xml:space="preserve">Andel af eksponeringer, der dækkes af </t>
    </r>
    <r>
      <rPr>
        <b/>
        <sz val="8.5"/>
        <color theme="1"/>
        <rFont val="Segoe UI"/>
        <family val="2"/>
      </rPr>
      <t>sikkerhed i fast ejendom (%)</t>
    </r>
  </si>
  <si>
    <r>
      <rPr>
        <sz val="8.5"/>
        <color theme="1"/>
        <rFont val="Segoe UI"/>
        <family val="2"/>
      </rPr>
      <t xml:space="preserve">Andel af eksponeringer, der dækkes af </t>
    </r>
    <r>
      <rPr>
        <b/>
        <sz val="8.5"/>
        <color theme="1"/>
        <rFont val="Segoe UI"/>
        <family val="2"/>
      </rPr>
      <t>fordringer (%)</t>
    </r>
  </si>
  <si>
    <r>
      <rPr>
        <sz val="8.5"/>
        <color theme="1"/>
        <rFont val="Segoe UI"/>
        <family val="2"/>
      </rPr>
      <t xml:space="preserve">Andel af eksponeringer, der dækkes af </t>
    </r>
    <r>
      <rPr>
        <b/>
        <sz val="8.5"/>
        <color theme="1"/>
        <rFont val="Segoe UI"/>
        <family val="2"/>
      </rPr>
      <t>anden fysisk sikkerhed (%)</t>
    </r>
  </si>
  <si>
    <r>
      <rPr>
        <sz val="8.5"/>
        <color theme="1"/>
        <rFont val="Segoe UI"/>
        <family val="2"/>
      </rPr>
      <t xml:space="preserve">Andel af eksponeringer, der dækkes af </t>
    </r>
    <r>
      <rPr>
        <b/>
        <sz val="8.5"/>
        <color theme="1"/>
        <rFont val="Segoe UI"/>
        <family val="2"/>
      </rPr>
      <t>kontant indlån (%)</t>
    </r>
  </si>
  <si>
    <r>
      <rPr>
        <sz val="8.5"/>
        <color theme="1"/>
        <rFont val="Segoe UI"/>
        <family val="2"/>
      </rPr>
      <t xml:space="preserve">Andel af eksponeringer, der dækkes af </t>
    </r>
    <r>
      <rPr>
        <b/>
        <sz val="8.5"/>
        <color theme="1"/>
        <rFont val="Segoe UI"/>
        <family val="2"/>
      </rPr>
      <t>livsforsikringspolicer (%)</t>
    </r>
  </si>
  <si>
    <r>
      <rPr>
        <sz val="8.5"/>
        <color theme="1"/>
        <rFont val="Segoe UI"/>
        <family val="2"/>
      </rPr>
      <t xml:space="preserve">Andel af eksponeringer, der dækkes af </t>
    </r>
    <r>
      <rPr>
        <b/>
        <sz val="8.5"/>
        <color theme="1"/>
        <rFont val="Segoe UI"/>
        <family val="2"/>
      </rPr>
      <t>instrumenter, som besiddes af tredjepart (%)</t>
    </r>
  </si>
  <si>
    <t>Heraf selskaber — andre</t>
  </si>
  <si>
    <t>Heraf detail — fast ejendom SMV'er</t>
  </si>
  <si>
    <t>Heraf detail — fast ejendom ikke-SMV'er</t>
  </si>
  <si>
    <t xml:space="preserve">Skema EU CR8 - RWEA-flowtabeller for kreditrisikoeksponeringer i henhold til IRB-metoden. </t>
  </si>
  <si>
    <t>Risikovægtet eksponering</t>
  </si>
  <si>
    <t>Risikovægtet eksponering ved udgangen af den foregående indberetningsperiode</t>
  </si>
  <si>
    <t>Aktivernes størrelse (+/-)</t>
  </si>
  <si>
    <t>Aktivernes kvalitet (+/-)</t>
  </si>
  <si>
    <t>Opdateringer af modeller (+/-)</t>
  </si>
  <si>
    <t>Metode og politik (+/-)</t>
  </si>
  <si>
    <t>Anskaffelser og afhændelser (+/-)</t>
  </si>
  <si>
    <t>Valutakursændringer (+/-)</t>
  </si>
  <si>
    <t>Andre faktorer (+/-)</t>
  </si>
  <si>
    <t>Risikovægtet eksponering ved udgangen af indberetningsperioden</t>
  </si>
  <si>
    <t>Skema CR9 –IRB-metoden – Back-testing af PD efter eksponeringsklasse. (fastsat PD-skala)</t>
  </si>
  <si>
    <t>Eksponeringsklasse</t>
  </si>
  <si>
    <t>Antal låntagere ved udgangen af det foregående år</t>
  </si>
  <si>
    <t>Den observerede gennemsnitlige misligholdelsesrate (%)</t>
  </si>
  <si>
    <t>Gennemsnitlig PD (%)</t>
  </si>
  <si>
    <t>Gennemsnitlig historisk årlig misligholdelsesrate (%)</t>
  </si>
  <si>
    <t>Heraf antal låntagere, der misligholdt i løbet af året</t>
  </si>
  <si>
    <t>Gennemsnitlig PD</t>
  </si>
  <si>
    <t>Skema CR9.1 – IRB metoden – Back-testing af PD efter eksponeringsklasse (kun for PD-estimater i henhold til artikel 180, stk. 1, litra f), i CRR)</t>
  </si>
  <si>
    <t>Tilsvarende ekstern rating</t>
  </si>
  <si>
    <t>Skema EU CR10 – Specialiseret långivning og aktieeksponeringer i henhold til den forenklede risikovægtningsmetode</t>
  </si>
  <si>
    <t>Skema EU CR10.1</t>
  </si>
  <si>
    <t>Specialiseret långivning: projektfinansiering (kategoriseringsmetode)</t>
  </si>
  <si>
    <t>Lovbestemte kategorier</t>
  </si>
  <si>
    <t>Restløbetid</t>
  </si>
  <si>
    <t>Balanceført eksponering</t>
  </si>
  <si>
    <t>Ikkebalanceført eksponering</t>
  </si>
  <si>
    <t>Kategori 1</t>
  </si>
  <si>
    <t>Under 2,5 år</t>
  </si>
  <si>
    <t>Lig med eller over 2,5 år</t>
  </si>
  <si>
    <t>Kategori 2</t>
  </si>
  <si>
    <t>Kategori 3</t>
  </si>
  <si>
    <t>Kategori 4</t>
  </si>
  <si>
    <t>Kategori 5</t>
  </si>
  <si>
    <t>-</t>
  </si>
  <si>
    <t>Skema EU CR10.2</t>
  </si>
  <si>
    <t>Specialiseret långivning: Indtægtsgenerende fast ejendom og erhvervsejendomme med høj volatilitet (kategoriseringsmetode)</t>
  </si>
  <si>
    <t>Skema EU CR10.3</t>
  </si>
  <si>
    <t>Specialiseret långivning: Objektfinansiering (kategoriseringsmetode)</t>
  </si>
  <si>
    <t>Skema EU CR10.4</t>
  </si>
  <si>
    <t>Specialiseret långivning: Råvarefinansiering (kategoriseringsmetode)</t>
  </si>
  <si>
    <t>Skema EU CR10.5</t>
  </si>
  <si>
    <t>Aktieeksponeringer i henhold til den forenklede risikovægtningsmetode</t>
  </si>
  <si>
    <t>Kategorier</t>
  </si>
  <si>
    <t>Private equity-eksponeringer</t>
  </si>
  <si>
    <t>Børsnoterede eksponeringer</t>
  </si>
  <si>
    <t>Andre aktieeksponeringer</t>
  </si>
  <si>
    <t>Skema EU CCR1 - Analyse af modpartskreditrisikoeksponeringer efter metode</t>
  </si>
  <si>
    <t>Fast format.</t>
  </si>
  <si>
    <t>Genanskaffelsesomkostninger</t>
  </si>
  <si>
    <t>Potentiel fremtidig eksponering</t>
  </si>
  <si>
    <t>EU — Den oprindelige eksponeringsmetode (for derivater)</t>
  </si>
  <si>
    <t>1,4</t>
  </si>
  <si>
    <t>EU — forenklet standardmetode for modpartskreditrisiko (for derivater)</t>
  </si>
  <si>
    <t>Standardmetode for modpartskreditrisiko (for derivater)</t>
  </si>
  <si>
    <t>Metoden med interne modeller (for derivater og værdipapirfinansieringstransaktioner)</t>
  </si>
  <si>
    <t>2a</t>
  </si>
  <si>
    <t>Heraf nettinggrupper for værdipapirfinansieringstransaktioner</t>
  </si>
  <si>
    <t>2b</t>
  </si>
  <si>
    <t>Heraf nettinggrupper for derivater og terminsforretninger</t>
  </si>
  <si>
    <t>2c</t>
  </si>
  <si>
    <t>Heraf fra aftaler om nettinggrupper på tværs af produkter</t>
  </si>
  <si>
    <t>Den enkle metode for finansiel sikkerhed (for SFT'er)</t>
  </si>
  <si>
    <t>Den udbyggede metode for finansiel sikkerhed (for SFT'er)</t>
  </si>
  <si>
    <t>Value-at-risk for værdipapirfinansieringstransaktioner</t>
  </si>
  <si>
    <t>Skema EU CCR2 – Transaktioner underlagt kapitalgrundlagskrav for kreditværdijusteringsrisiko</t>
  </si>
  <si>
    <t>Samlet andel af transaktioner underlagt den avancerede metode</t>
  </si>
  <si>
    <t xml:space="preserve">   i) Value-at-risk-komponent (inklusive multiplikationsfaktoren på 3)</t>
  </si>
  <si>
    <t xml:space="preserve">   ii) Value-at-risk-komponent i stresssituationer (inklusive multiplikationsfaktoren på 3)</t>
  </si>
  <si>
    <t>Transaktioner underlagt standardmetoden</t>
  </si>
  <si>
    <t xml:space="preserve">Samlet antal transaktioner underlagt kapitalgrundlagskrav for kreditværdijusteringsrisiko </t>
  </si>
  <si>
    <t>Skema EU CCR3 — standardmetoden — modpartskreditrisikoeksponeringer efter eksponeringsklasse og risikovægte</t>
  </si>
  <si>
    <t>Eksponeringsklasser</t>
  </si>
  <si>
    <t xml:space="preserve">Regionale eller lokale myndigheder </t>
  </si>
  <si>
    <t>Skema EU CCR4 — IRB-metoden — modpartskreditrisikoeksponeringer efter eksponeringsklasse og PD-skala</t>
  </si>
  <si>
    <t>PD-skala</t>
  </si>
  <si>
    <t>1 … x</t>
  </si>
  <si>
    <t>x</t>
  </si>
  <si>
    <t>Subtotal (eksponeringsklasse X)</t>
  </si>
  <si>
    <t>y</t>
  </si>
  <si>
    <t>I alt (alle relevante modpartskreditrisikoeksponeringsklasser)</t>
  </si>
  <si>
    <t>Faste kolonner</t>
  </si>
  <si>
    <t>Sikkerhedsstillelse anvendt i derivattransaktioner</t>
  </si>
  <si>
    <t>Sikkerhedsstillelse anvendt i værdipapirfinansieringstransaktioner</t>
  </si>
  <si>
    <t>Sikkerhedsstillelsestype</t>
  </si>
  <si>
    <t>Dagsværdi af modtagne sikkerheder</t>
  </si>
  <si>
    <t>Dagsværdi af stillede sikkerheder</t>
  </si>
  <si>
    <t>Adskilt</t>
  </si>
  <si>
    <t>Ikkeadskilt</t>
  </si>
  <si>
    <t>Kontanter — national valuta</t>
  </si>
  <si>
    <t>Kontanter – andre valutaer</t>
  </si>
  <si>
    <t>Indenlandsk statsgæld</t>
  </si>
  <si>
    <t>Anden statsgæld</t>
  </si>
  <si>
    <t>Gæld fra statslige myndigheder</t>
  </si>
  <si>
    <t>Virksomhedsobligationer</t>
  </si>
  <si>
    <t>Aktieinstrumenter</t>
  </si>
  <si>
    <t>Skema EU CCR6 – Eksponering for kreditderivater</t>
  </si>
  <si>
    <t>Faste</t>
  </si>
  <si>
    <t>Købt afdækning</t>
  </si>
  <si>
    <t>Solgt afdækning</t>
  </si>
  <si>
    <t>Notionelle værdier</t>
  </si>
  <si>
    <t>Single name credit default swaps</t>
  </si>
  <si>
    <t>Indeksebaserede credit default swaps</t>
  </si>
  <si>
    <t>Total return swaps</t>
  </si>
  <si>
    <t>Kreditoptioner</t>
  </si>
  <si>
    <t>Andre kreditderivater</t>
  </si>
  <si>
    <t>Notionelle værdier i alt</t>
  </si>
  <si>
    <t>Dagsværdier</t>
  </si>
  <si>
    <t>Positiv dagsværdi (aktiv)</t>
  </si>
  <si>
    <t>Negativ dagsværdi (forpligtelse)</t>
  </si>
  <si>
    <t>Skema EU CCR7 - RWEA-flowtabeller for markedsrisikoeksponeringer i henhold til IMM</t>
  </si>
  <si>
    <t>Risikovægtede eksponeringer ved afslutningen af den foregående offentliggørelsesperiode</t>
  </si>
  <si>
    <t>Aktivernes størrelse</t>
  </si>
  <si>
    <t>Modparternes kreditkvalitet</t>
  </si>
  <si>
    <t>Opdateringer af modeller (kun metoden med interne modeller)</t>
  </si>
  <si>
    <t>Metodologi og politik (kun metoden med interne modeller)</t>
  </si>
  <si>
    <t>Anskaffelser og afhændelser</t>
  </si>
  <si>
    <t>Valutabevægelser</t>
  </si>
  <si>
    <t>Andet</t>
  </si>
  <si>
    <t>Risikovægtede eksponeringer ved afslutningen af den indeværende offentliggørelsesperiode</t>
  </si>
  <si>
    <t>Skema EU CCR8 -Modpartskreditrisikoeksponeringer</t>
  </si>
  <si>
    <t xml:space="preserve">Eksponeringsværdi </t>
  </si>
  <si>
    <t>Eksponeringer mod QCCP'er (i alt)</t>
  </si>
  <si>
    <t>Eksponeringer for handel hos QCCP'er (undtagen initialmargen og bidrag til misligholdelsesfond) heraf</t>
  </si>
  <si>
    <t xml:space="preserve">   i) OTC-derivater</t>
  </si>
  <si>
    <t xml:space="preserve">   ii) børshandlede derivater</t>
  </si>
  <si>
    <t xml:space="preserve">   iii) SFT'er</t>
  </si>
  <si>
    <t xml:space="preserve">   iv) nettinggrupper, hvor netting på tværs af produkter er blevet godkendt</t>
  </si>
  <si>
    <t>Adskilt initialmargen</t>
  </si>
  <si>
    <t>Ikkeadskilt initialmargen</t>
  </si>
  <si>
    <t>Indbetalte bidrag til misligholdelsesfonde</t>
  </si>
  <si>
    <t>Ikke-indbetalte bidrag til misligholdelsesfonde</t>
  </si>
  <si>
    <t>Eksponeringer mod ikke-QCCP'er (i alt)</t>
  </si>
  <si>
    <t>Eksponeringer for handel hos ikke-QCCP'er (undtagen initialmargen og bidrag til misligholdelsesfond) heraf</t>
  </si>
  <si>
    <t>Skema EU CCR5 — Sammensætning af sikkerhedsstillelse for modpartskreditrisikoeksponeringer</t>
  </si>
  <si>
    <t>Instituttet optræder som eksponeringsleverende institut</t>
  </si>
  <si>
    <t>Instituttet optræder som organiserende institut</t>
  </si>
  <si>
    <t>Instituttet optræder som investor</t>
  </si>
  <si>
    <t>Traditionel</t>
  </si>
  <si>
    <t>Syntetisk</t>
  </si>
  <si>
    <t>Subtotal</t>
  </si>
  <si>
    <t>STS</t>
  </si>
  <si>
    <t>Ikke-STS</t>
  </si>
  <si>
    <t>heraf væsentlig risikooverførsel</t>
  </si>
  <si>
    <t>Samlede eksponeringer</t>
  </si>
  <si>
    <t>Detail (i alt)</t>
  </si>
  <si>
    <t xml:space="preserve">   realkreditlån i beboelsesejendomme</t>
  </si>
  <si>
    <t xml:space="preserve">   kreditkort</t>
  </si>
  <si>
    <t xml:space="preserve">   andre detaileksponeringer </t>
  </si>
  <si>
    <t xml:space="preserve">   resecuritisering</t>
  </si>
  <si>
    <t>Engros (i alt)</t>
  </si>
  <si>
    <t xml:space="preserve">   lån til selskaber</t>
  </si>
  <si>
    <t xml:space="preserve">   realkreditlån i erhvervsejendomme </t>
  </si>
  <si>
    <t xml:space="preserve">   leasing og tilgodehavender</t>
  </si>
  <si>
    <t xml:space="preserve">   øvrig engros</t>
  </si>
  <si>
    <t>Skema EU-SEC2 - Securitiseringseksponeringer i handelsbeholdningen</t>
  </si>
  <si>
    <t>Skema EU-SEC3 - Securitiseringseksponeringer uden for handelsbeholdningen og tilknyttede lovbestemte kapitalkrav - instituttet optræder som eksponeringsleverende eller organiserende institut</t>
  </si>
  <si>
    <t>EU-p</t>
  </si>
  <si>
    <t>EU-q</t>
  </si>
  <si>
    <t>Eksponeringsværdier (efter risikovægtintervaller/fradrag)</t>
  </si>
  <si>
    <t>Eksponeringsværdier (efter lovgivningsmæssig fremgangsmåde)</t>
  </si>
  <si>
    <t>Risikovægtede eksponeringer (efter lovgivningsmæssig fremgangsmåde)</t>
  </si>
  <si>
    <t>Kapitalkrav efter loft</t>
  </si>
  <si>
    <t>≤ 20 % risikovægt</t>
  </si>
  <si>
    <t xml:space="preserve"> &gt; 20 % til 50 % risikovægt</t>
  </si>
  <si>
    <t xml:space="preserve"> &gt; 50 % til 100 %           risikovægt</t>
  </si>
  <si>
    <t xml:space="preserve"> &gt; 100 % til &lt; 1 250 %     risikovægt</t>
  </si>
  <si>
    <t>1 250 % risikovægt/fradrag</t>
  </si>
  <si>
    <t>SEC-IRBA</t>
  </si>
  <si>
    <t>SEC-ERBA
(inklusive IAA)</t>
  </si>
  <si>
    <t>SEC-SA</t>
  </si>
  <si>
    <t>1 250 % risikovægt/
fradrag</t>
  </si>
  <si>
    <t xml:space="preserve">Traditionelle transaktioner </t>
  </si>
  <si>
    <t xml:space="preserve">   Securitisering</t>
  </si>
  <si>
    <t xml:space="preserve">       Detail</t>
  </si>
  <si>
    <t xml:space="preserve">       Heraf STS</t>
  </si>
  <si>
    <t xml:space="preserve">       Engros</t>
  </si>
  <si>
    <t xml:space="preserve">   Resecuritisering</t>
  </si>
  <si>
    <t xml:space="preserve">Syntetiske transaktioner </t>
  </si>
  <si>
    <t xml:space="preserve">       Detail, underliggende</t>
  </si>
  <si>
    <t>Skema EU-SEC4 - Securitiseringseksponeringer uden for handelsbeholdningen og tilknyttede lovpligtige kapitalkrav - instituttet optræder som investorinstitut</t>
  </si>
  <si>
    <t xml:space="preserve">Traditionel securitisering </t>
  </si>
  <si>
    <t xml:space="preserve">Syntetisk securitisering </t>
  </si>
  <si>
    <t>Skema EU-SEC5 - Eksponeringer securitiseret af instituttet - Misligholdte eksponeringer og specifikke kreditrisikojusteringer</t>
  </si>
  <si>
    <t>Eksponeringer securitiseret af instituttet — Instituttet handler som eksponeringsleverende eller organiserende institut</t>
  </si>
  <si>
    <t>Samlet udestående nominelt beløb</t>
  </si>
  <si>
    <t>Samlet beløb for specifikke kreditrisikojusteringer foretaget i løbet af perioden</t>
  </si>
  <si>
    <t>Skema EU-SEC1 - Securitiseringseksponeringer uden for handelsbeholdningen</t>
  </si>
  <si>
    <t>Skema EU MR1 - Markedsrisiko i henhold til standardmetoden</t>
  </si>
  <si>
    <t>Risikovægtede eksponeringer (RWEA)</t>
  </si>
  <si>
    <t>Direkte produkter</t>
  </si>
  <si>
    <t>Renterisiko (generel og specifik)</t>
  </si>
  <si>
    <t>Aktierisiko (generel og specifik)</t>
  </si>
  <si>
    <t>Valutarisiko</t>
  </si>
  <si>
    <t xml:space="preserve">Råvarerisiko </t>
  </si>
  <si>
    <t xml:space="preserve">Optioner </t>
  </si>
  <si>
    <t>Forenklet metode</t>
  </si>
  <si>
    <t>Delta plus-metode</t>
  </si>
  <si>
    <t>Scenario-metode</t>
  </si>
  <si>
    <t>Skema EU MR2-A - Markedsrisiko i henhold til metoden med interne modeller (IMA)</t>
  </si>
  <si>
    <r>
      <rPr>
        <b/>
        <sz val="10"/>
        <color theme="1"/>
        <rFont val="Arial"/>
        <family val="2"/>
      </rPr>
      <t>VaR</t>
    </r>
    <r>
      <rPr>
        <sz val="10"/>
        <color theme="1"/>
        <rFont val="Arial"/>
        <family val="2"/>
      </rPr>
      <t xml:space="preserve"> (den højeste af værdierne a og b)</t>
    </r>
  </si>
  <si>
    <t>a)</t>
  </si>
  <si>
    <r>
      <rPr>
        <sz val="11"/>
        <color theme="1"/>
        <rFont val="Arial"/>
        <family val="2"/>
      </rPr>
      <t>Foregående dags VaR (VaRt-1)</t>
    </r>
    <r>
      <rPr>
        <sz val="10"/>
        <color theme="1"/>
        <rFont val="Arial"/>
        <family val="2"/>
      </rPr>
      <t xml:space="preserve"> </t>
    </r>
  </si>
  <si>
    <t>b)</t>
  </si>
  <si>
    <t>Multiplikationsfaktor (mc) x gennemsnit for de foregående 60 arbejdsdage (VaRavg)</t>
  </si>
  <si>
    <r>
      <rPr>
        <b/>
        <sz val="10"/>
        <color theme="1"/>
        <rFont val="Arial"/>
        <family val="2"/>
      </rPr>
      <t xml:space="preserve">SVaR </t>
    </r>
    <r>
      <rPr>
        <sz val="10"/>
        <color theme="1"/>
        <rFont val="Arial"/>
        <family val="2"/>
      </rPr>
      <t>(den højeste af værdierne a og b)</t>
    </r>
  </si>
  <si>
    <r>
      <rPr>
        <sz val="11"/>
        <color theme="1"/>
        <rFont val="Arial"/>
        <family val="2"/>
      </rPr>
      <t>Den seneste tilgængelige SVaR (SVaRt-1)</t>
    </r>
  </si>
  <si>
    <r>
      <rPr>
        <sz val="11"/>
        <color theme="1"/>
        <rFont val="Arial"/>
        <family val="2"/>
      </rPr>
      <t>Multiplikationsfaktor (ms) x gennemsnit for de foregående 60 arbejdsdage (sVaRavg)</t>
    </r>
  </si>
  <si>
    <r>
      <rPr>
        <b/>
        <sz val="10"/>
        <color theme="1"/>
        <rFont val="Arial"/>
        <family val="2"/>
      </rPr>
      <t>IRC</t>
    </r>
    <r>
      <rPr>
        <sz val="10"/>
        <color theme="1"/>
        <rFont val="Arial"/>
        <family val="2"/>
      </rPr>
      <t xml:space="preserve"> (den højeste af værdierne a og b)</t>
    </r>
  </si>
  <si>
    <t>Seneste måling af forøget misligholdelses- og migreringsrisiko</t>
  </si>
  <si>
    <t>Gennemsnit af måling af forøget misligholdelses- og migreringsrisiko over 12 uger</t>
  </si>
  <si>
    <r>
      <rPr>
        <b/>
        <sz val="10"/>
        <color theme="1"/>
        <rFont val="Arial"/>
        <family val="2"/>
      </rPr>
      <t>Omfattende risikomåling</t>
    </r>
    <r>
      <rPr>
        <sz val="10"/>
        <color theme="1"/>
        <rFont val="Arial"/>
        <family val="2"/>
      </rPr>
      <t xml:space="preserve"> (den højeste af værdierne a og b)</t>
    </r>
  </si>
  <si>
    <t>Seneste risikomåling af omfattende risikomåling</t>
  </si>
  <si>
    <t>Gennemsnit af måling af omfattende risikomåling over 12 uger</t>
  </si>
  <si>
    <t>c)</t>
  </si>
  <si>
    <t>Omfattende risikomåling — nedre grænse</t>
  </si>
  <si>
    <t xml:space="preserve">Andet </t>
  </si>
  <si>
    <t>Skema EU MR2-B - RWEA-flowtabeller for markedsrisikoeksponeringer i henhold til IMA</t>
  </si>
  <si>
    <t>VaR</t>
  </si>
  <si>
    <t>SVaR</t>
  </si>
  <si>
    <t>IRC</t>
  </si>
  <si>
    <t>Omfattende risikomåling</t>
  </si>
  <si>
    <t>Risikovægtede eksponeringer i alt</t>
  </si>
  <si>
    <t xml:space="preserve">Risikovægtede eksponeringer ved afslutningen af den foregående periode </t>
  </si>
  <si>
    <t>1a</t>
  </si>
  <si>
    <t>Lovpligtig justering</t>
  </si>
  <si>
    <t>1b</t>
  </si>
  <si>
    <t xml:space="preserve">Risikovægtede eksponeringer ved afslutningen af foregående kvartal (afslutning af dagen) </t>
  </si>
  <si>
    <t xml:space="preserve">Bevægelse i risikoniveauer </t>
  </si>
  <si>
    <t xml:space="preserve">Modelopdateringer/-ændringer </t>
  </si>
  <si>
    <t>Metode og politik</t>
  </si>
  <si>
    <t xml:space="preserve">Anskaffelser og afhændelser </t>
  </si>
  <si>
    <t xml:space="preserve">Valutabevægelser </t>
  </si>
  <si>
    <t>8a</t>
  </si>
  <si>
    <t xml:space="preserve">Risikovægtede eksponeringer ved afslutningen af offentliggørelsesperioden (afslutning af dagen) </t>
  </si>
  <si>
    <t>8b</t>
  </si>
  <si>
    <t xml:space="preserve">Risikovægtede eksponeringer ved afslutningen af offentliggørelsesperioden </t>
  </si>
  <si>
    <t>Skema EU MR3 - IMA-værdier for handelsporteføljer</t>
  </si>
  <si>
    <t xml:space="preserve">VaR (10 dage, 99 %) </t>
  </si>
  <si>
    <t>Maksimumsværdi</t>
  </si>
  <si>
    <t>Gennemsnitsværdi</t>
  </si>
  <si>
    <t xml:space="preserve">Minimumsværdi </t>
  </si>
  <si>
    <t>Afslutning af periode</t>
  </si>
  <si>
    <t>SVaR (10 dage, 99 %)</t>
  </si>
  <si>
    <t>IRC (99,9 %)</t>
  </si>
  <si>
    <t xml:space="preserve">Omfattende risikomåling (99,9 %) </t>
  </si>
  <si>
    <t>Skema EU MR4 - Sammenligning af VaR-estimater med gevinster/tab</t>
  </si>
  <si>
    <r>
      <rPr>
        <sz val="11"/>
        <color theme="1"/>
        <rFont val="Calibri"/>
        <family val="2"/>
        <scheme val="minor"/>
      </rPr>
      <t xml:space="preserve">Institutterne skal præsentere en analyse af "afvigelser" (undtagelser til backtesting i overensstemmelse med artikel 366 i CRR) i backtestede resultater </t>
    </r>
    <r>
      <rPr>
        <i/>
        <sz val="11"/>
        <color theme="1"/>
        <rFont val="Calibri"/>
        <family val="2"/>
        <scheme val="minor"/>
      </rPr>
      <t>og specificere datoerne og det dertil svarende overskud (VaR-gevinst og tab), herunder mindst de vigtigste faktorer bag undtagelserne, med lignende sammenligninger for faktisk gevinst og tab og hypotetisk gevinst og tab (i overensstemmelse med artikel 366 i CRR).</t>
    </r>
  </si>
  <si>
    <t>Oplysninger om faktiske gevinster/tab og i særdeleshed en præcisering af, om de omfatter reserver og, hvis ikke, hvordan reserverne integreres i backtestingprocessen.</t>
  </si>
  <si>
    <t xml:space="preserve"> Skema EU OR1 - Kapitalgrundlagskrav for operationel risiko og risikovægtede eksponeringer</t>
  </si>
  <si>
    <t>Bankaktiviteter</t>
  </si>
  <si>
    <t>Relevant indikator</t>
  </si>
  <si>
    <t>Own funds</t>
  </si>
  <si>
    <t>Total operational risk-weighted exposure amount</t>
  </si>
  <si>
    <t>År-3</t>
  </si>
  <si>
    <t>År-2</t>
  </si>
  <si>
    <t>Foregående år</t>
  </si>
  <si>
    <t>requirement</t>
  </si>
  <si>
    <t>Bankaktiviteter omfattet af basisindikatormetoden (BIA)</t>
  </si>
  <si>
    <t>Bankaktiviteter omfattet af standardmetoden (TSA)/ den alternative standardmetode (ASA)</t>
  </si>
  <si>
    <t>OMFATTET AF TSA:</t>
  </si>
  <si>
    <t>OMFATTET AF ASA:</t>
  </si>
  <si>
    <t>Bankaktiviteter omfattet af avancerede målemetoder (AMA)</t>
  </si>
  <si>
    <t xml:space="preserve">Skema EU REM1 – Aflønning tildelt i løbet af regnskabsåret </t>
  </si>
  <si>
    <t>Ledelsesorganet i dets tilsynsfunktion</t>
  </si>
  <si>
    <t xml:space="preserve">Ledelsesorganet i dets ledelsesfunktion </t>
  </si>
  <si>
    <t>Andre medarbejdere i den øverste ledelse</t>
  </si>
  <si>
    <t>Andre identificerede medarbejdere</t>
  </si>
  <si>
    <t>Fast aflønning</t>
  </si>
  <si>
    <t>Antal identificerede medarbejdere</t>
  </si>
  <si>
    <t>Fast aflønning i alt</t>
  </si>
  <si>
    <t>Heraf: kontantbaseret</t>
  </si>
  <si>
    <t>(Ikke relevant i EU)</t>
  </si>
  <si>
    <t>EU-4a</t>
  </si>
  <si>
    <t>Heraf: aktier eller tilsvarende ejerskabsinteresser</t>
  </si>
  <si>
    <t xml:space="preserve">Heraf: instrumenter baseret på aktier eller tilsvarende ikkelikvide instrumenter </t>
  </si>
  <si>
    <t>EU-5x</t>
  </si>
  <si>
    <t>Heraf: andre instrumenter</t>
  </si>
  <si>
    <t>Heraf: andre former</t>
  </si>
  <si>
    <t>Variabel aflønning</t>
  </si>
  <si>
    <t>Variabel aflønning i alt</t>
  </si>
  <si>
    <t>Heraf: udskudt</t>
  </si>
  <si>
    <t>EU-13a</t>
  </si>
  <si>
    <t>EU-14a</t>
  </si>
  <si>
    <t>EU-13b</t>
  </si>
  <si>
    <t>EU-14b</t>
  </si>
  <si>
    <t>EU-14x</t>
  </si>
  <si>
    <t>EU-14y</t>
  </si>
  <si>
    <t>Aflønning i alt (2 + 10)</t>
  </si>
  <si>
    <t>Skema EU REM2 – Særlige betalinger til medarbejdere, hvis arbejde har væsentlig indflydelse på instituttets risikoprofil (identificerede medarbejdere)</t>
  </si>
  <si>
    <t xml:space="preserve">Tildeling af garanteret variabel aflønning </t>
  </si>
  <si>
    <t>Tildeling af garanteret variabel aflønning — antal identificerede medarbejdere</t>
  </si>
  <si>
    <t>Tildeling af garanteret variabel aflønning — samlet beløb</t>
  </si>
  <si>
    <t>Heraf tildelt garanteret variabel aflønning, udbetalt i løbet af regnskabsåret, som ikke er omfattet af bonusloftet</t>
  </si>
  <si>
    <t>Fratrædelsesgodtgørelser tildelt i forudgående perioder, som er blevet udbetalt i løbet af regnskabsåret</t>
  </si>
  <si>
    <t>Fratrædelsesgodtgørelser tildelt i forudgående perioder, som er blevet udbetalt i løbet af regnskabsåret — antal identificerede medarbejdere</t>
  </si>
  <si>
    <t>Fratrædelsesgodtgørelser tildelt i forudgående perioder, som er blevet udbetalt i løbet af regnskabsåret — samlet beløb</t>
  </si>
  <si>
    <t>Fratrædelsesgodtgørelser tildelt i løbet af regnskabsåret</t>
  </si>
  <si>
    <t>Fratrædelsesgodtgørelser tildelt i løbet af regnskabsåret — antal identificerede medarbejdere</t>
  </si>
  <si>
    <t>Fratrædelsesgodtgørelser tildelt i løbet af regnskabsåret — samlet beløb</t>
  </si>
  <si>
    <t xml:space="preserve">Heraf udbetalt i løbet af regnskabsåret </t>
  </si>
  <si>
    <t>Heraf udskudt</t>
  </si>
  <si>
    <t>Heraf fratrædelsesgodtgørelser udbetalt i løbet af regnskabsåret, som ikke er omfattet af bonusloftet</t>
  </si>
  <si>
    <t>Heraf det højeste beløb, der er udbetalt til en enkelt person</t>
  </si>
  <si>
    <t xml:space="preserve">Skema EU REM3 – Udskudt aflønning </t>
  </si>
  <si>
    <t>EU - g</t>
  </si>
  <si>
    <t>EU - h</t>
  </si>
  <si>
    <t>Udskudt og tilbageholdt aflønning</t>
  </si>
  <si>
    <t>Samlet udskudt aflønning tildelt for tidligere optjeningsperioder</t>
  </si>
  <si>
    <t xml:space="preserve">
Den del, der optjenes i regnskabsåret</t>
  </si>
  <si>
    <t xml:space="preserve">
Den del, der optjenes i de efterfølgende regnskabsår</t>
  </si>
  <si>
    <t>Resultatjusteringer foretaget i regnskabsåret for udskudt aflønning, som blev optjent i regnskabsåret</t>
  </si>
  <si>
    <t>Resultatjusteringer foretaget i regnskabsåret for udskudt aflønning, som optjenes i de kommende optjeningsår</t>
  </si>
  <si>
    <t>Samlet justering i løbet af regnskabsåret som følge af efterfølgende implicitte justeringer (dvs. ændringer i værdien for udskudt aflønning som følge af ændringer i priser på instrumenter)</t>
  </si>
  <si>
    <t xml:space="preserve">Samlet udskudt aflønning tildelt inden regnskabsåret, som er blevet udbetalt i regnskabsåret </t>
  </si>
  <si>
    <t>Samlet udskudt aflønning tildelt for tidligere optjeningsperioder, som er optjent, men omfattet af tilbageholdelsesperioder</t>
  </si>
  <si>
    <t>Kontantbaseret</t>
  </si>
  <si>
    <t xml:space="preserve">
Aktier eller tilsvarende ejerskabsinteresser</t>
  </si>
  <si>
    <t xml:space="preserve">Instrumenter baseret på aktier eller tilsvarende ikkelikvide instrumenter </t>
  </si>
  <si>
    <t>Andre instrumenter</t>
  </si>
  <si>
    <t>Andre former</t>
  </si>
  <si>
    <t>Ledelsesorganet i dets ledelsesfunktion</t>
  </si>
  <si>
    <t>Samlet beløb</t>
  </si>
  <si>
    <t>Skema EU REM4 – Aflønning på 1 mio. EUR eller derover pr. regnskabsår</t>
  </si>
  <si>
    <t>EUR</t>
  </si>
  <si>
    <t>Identificerede højtlønnede medarbejdere, jf. artikel 450, litra i), i CRR</t>
  </si>
  <si>
    <t>1 000 000 til under 1 500 000</t>
  </si>
  <si>
    <t>1 500 000 til under 2 000 000</t>
  </si>
  <si>
    <t>2 000 000 til under 2 500 000</t>
  </si>
  <si>
    <t>2 500 000 til under 3 000 000</t>
  </si>
  <si>
    <t>3 000 000 til under 3 500 000</t>
  </si>
  <si>
    <t>3 500 000 til under 4 000 000</t>
  </si>
  <si>
    <t>4 000 000 til under 4 500 000</t>
  </si>
  <si>
    <t>4 500 000 til under 5 000 000</t>
  </si>
  <si>
    <t>5 000 000 til under 6 000 000</t>
  </si>
  <si>
    <t>6 000 000 til under 7 000 000</t>
  </si>
  <si>
    <t>7 000 000 til under 8 000 000</t>
  </si>
  <si>
    <t>Kan udvides, hvis der er behov for flere lønrammer.</t>
  </si>
  <si>
    <t>Skema REM5 – Oplysninger om aflønning af medarbejdere, hvis arbejde har væsentlig indflydelse på instituttets risikoprofil (identificerede medarbejdere)</t>
  </si>
  <si>
    <t>Aflønning af ledelsesorgan</t>
  </si>
  <si>
    <t>Forretningsområder</t>
  </si>
  <si>
    <t>Ledelsesorgan, i alt</t>
  </si>
  <si>
    <t>Detailbankydelser</t>
  </si>
  <si>
    <t>Forvaltning af aktiver</t>
  </si>
  <si>
    <t>Forretningsfunktioner</t>
  </si>
  <si>
    <t>Alle andre</t>
  </si>
  <si>
    <t>Samlet antal identificerede medarbejdere</t>
  </si>
  <si>
    <t>Heraf: medlemmer af ledelsesorganet</t>
  </si>
  <si>
    <t>Heraf: andre medarbejdere i den øverste ledelse</t>
  </si>
  <si>
    <t>Heraf: andre identificerede medarbejdere</t>
  </si>
  <si>
    <t>Samlet aflønning af identificerede medarbejdere</t>
  </si>
  <si>
    <t xml:space="preserve">Heraf: variabel aflønning </t>
  </si>
  <si>
    <t xml:space="preserve">Heraf: fast aflønning </t>
  </si>
  <si>
    <t>Skema EU AE1 - Behæftede og ubehæftede aktiver</t>
  </si>
  <si>
    <t>Regnskabsmæssig værdi af behæftede aktiver</t>
  </si>
  <si>
    <t>Dagsværdi af behæftede aktiver</t>
  </si>
  <si>
    <t>Regnskabsmæssig værdi af ubehæftede aktiver</t>
  </si>
  <si>
    <t>Dagsværdi af ubehæftede aktiver</t>
  </si>
  <si>
    <t>heraf aktiver, der i ubehæftet stand ville kunne klassificeres som EHQLA'er og HQLA'er</t>
  </si>
  <si>
    <t>heraf EHQLA'er og HQLA'er</t>
  </si>
  <si>
    <t>Det oplysende instituts aktiver</t>
  </si>
  <si>
    <t>heraf: særligt dækkede obligationer og særligt dækkede realkreditobligationer</t>
  </si>
  <si>
    <t>heraf: securitiseringer</t>
  </si>
  <si>
    <t>heraf: udstedt af offentlig forvaltning og service</t>
  </si>
  <si>
    <t>heraf: udstedt af finansielle selskaber</t>
  </si>
  <si>
    <t>heraf: udstedt af ikkefinansielle selskaber</t>
  </si>
  <si>
    <t>Andre aktiver</t>
  </si>
  <si>
    <t>Skema EU AE2 - Modtaget sikkerhedsstillelse og egne udstedte gældsværdipapirer</t>
  </si>
  <si>
    <t>Dagsværdi af behæftede modtagne sikkerheder eller egne udstedte gældsværdipapirer</t>
  </si>
  <si>
    <t>Ubehæftede</t>
  </si>
  <si>
    <t>Dagsværdi af modtagne sikkerheder eller egne udstedte gældsværdipapirer, som kan behæftes</t>
  </si>
  <si>
    <t>Sikkerheder modtaget af det oplysende institut</t>
  </si>
  <si>
    <t>Lån på anfordring</t>
  </si>
  <si>
    <t>Lån og forskud, bortset fra lån på anfordring</t>
  </si>
  <si>
    <t>230</t>
  </si>
  <si>
    <t>Andre modtagne sikkerheder</t>
  </si>
  <si>
    <t>240</t>
  </si>
  <si>
    <t>Egne udstedte gældsværdipapirer, bortset fra egne særligt dækkede obligationer og særligt dækkede realkreditobligationer eller securitiseringer</t>
  </si>
  <si>
    <t xml:space="preserve"> Egne særligt dækkede obligationer og særligt dækkede realkreditobligationer og securitiseringer, som er udstedt og endnu ikke er stillet som pant.</t>
  </si>
  <si>
    <t xml:space="preserve">SAMLET MODTAGET SIKKERHEDSSTILLELSE OG EGNE UDSTEDTE GÆLDSVÆRDIPAPIRER </t>
  </si>
  <si>
    <t>Skema EU AE3 – Behæftelseskilder</t>
  </si>
  <si>
    <t>Modsvarende forpligtelser, eventualforpligtelser eller udlånte værdipapirer</t>
  </si>
  <si>
    <t>Regnskabsmæssig værdi af udvalgte finansielle forpligtelser</t>
  </si>
  <si>
    <t>Fynske Bank A/S</t>
  </si>
  <si>
    <t>Ejendomsselskabet Centrumpladsen ApS</t>
  </si>
  <si>
    <t>Ejendomsselskabet Trindholmsgade ApS</t>
  </si>
  <si>
    <t>Leasing Fyn Svendborg A/S</t>
  </si>
  <si>
    <t>Ejendomsselskab</t>
  </si>
  <si>
    <t>Leasingselskab</t>
  </si>
  <si>
    <t>Side</t>
  </si>
  <si>
    <t>Indholdsfortegnelse</t>
  </si>
  <si>
    <t>Samlede kapitalgrundlags-krav</t>
  </si>
  <si>
    <t>AVA på kategoriniveau —Værdiansættelses-usikkerhed</t>
  </si>
  <si>
    <t>Samlet værdi på kategori-niveau efter diversificering</t>
  </si>
  <si>
    <t>AVA for investerings- og finansierings-omkostninger</t>
  </si>
  <si>
    <r>
      <rPr>
        <sz val="8"/>
        <color theme="1"/>
        <rFont val="Arial"/>
        <family val="2"/>
      </rPr>
      <t xml:space="preserve">Heraf: </t>
    </r>
    <r>
      <rPr>
        <b/>
        <sz val="8"/>
        <color rgb="FF000000"/>
        <rFont val="Arial"/>
        <family val="2"/>
      </rPr>
      <t>Samlet kerne-metode</t>
    </r>
    <r>
      <rPr>
        <sz val="8"/>
        <color rgb="FF000000"/>
        <rFont val="Arial"/>
        <family val="2"/>
      </rPr>
      <t xml:space="preserve"> i handelsbe-holdningen</t>
    </r>
  </si>
  <si>
    <r>
      <rPr>
        <sz val="8"/>
        <color theme="1"/>
        <rFont val="Arial"/>
        <family val="2"/>
      </rPr>
      <t xml:space="preserve">Heraf: </t>
    </r>
    <r>
      <rPr>
        <b/>
        <sz val="8"/>
        <color rgb="FF000000"/>
        <rFont val="Arial"/>
        <family val="2"/>
      </rPr>
      <t>Samlet kernemetode</t>
    </r>
    <r>
      <rPr>
        <sz val="8"/>
        <color rgb="FF000000"/>
        <rFont val="Arial"/>
        <family val="2"/>
      </rPr>
      <t xml:space="preserve"> i anlægsbehold-ningen</t>
    </r>
  </si>
  <si>
    <t>Fremtidige administrations-omkostninger</t>
  </si>
  <si>
    <t>Akkumu-lerede delvise afskrivninger</t>
  </si>
  <si>
    <t>På ikkemislig-holdte ekspo-neringer</t>
  </si>
  <si>
    <t>På mislig-holdte ekspo-neringer</t>
  </si>
  <si>
    <t>Heraf mislig-holdte</t>
  </si>
  <si>
    <t>Heraf værdi-forringede</t>
  </si>
  <si>
    <t>Ikke forfaldne eller forfaldne  ≤ 30 dage</t>
  </si>
  <si>
    <t>Heraf ekspo-neringer, der testes for værdifor-ringelse</t>
  </si>
  <si>
    <t>Akkumuleret værdi-forringelse</t>
  </si>
  <si>
    <t>Heraf forfaldne  &gt; 30 dage ≤ 90 dage</t>
  </si>
  <si>
    <t>Heraf forfaldne  &gt; 90 dage ≤ 180 dage</t>
  </si>
  <si>
    <t>Heraf: forfaldne  &gt; 180 dage ≤ 1 år</t>
  </si>
  <si>
    <t>Heraf: forfaldne  &gt; 7 år</t>
  </si>
  <si>
    <t>Ikkebalance-førte eksponeringer inden anvendelse af kreditkon-verterings-faktorer</t>
  </si>
  <si>
    <t>Eksponerings-vægtet gennemsnitlig kreditkonver-teringsfaktor</t>
  </si>
  <si>
    <t>Eksponeringer efter konverterings-faktorer og efter kreditrisikoreduk-tionsteknikker</t>
  </si>
  <si>
    <t>Eksponerings-vægtet gennemsnitlig PD (%)</t>
  </si>
  <si>
    <t>Eksponerings-vægtet gennemsnitlig LGD (%)</t>
  </si>
  <si>
    <t>Eksponerings-vægtet gennemsnitlig løbetid (år)</t>
  </si>
  <si>
    <t>Værdijust-eringer og hensættelser</t>
  </si>
  <si>
    <t>Faktisk forventet positiv ekspo-nering</t>
  </si>
  <si>
    <t>Alfa anvendt til beregning af en regulerings-mæssig eksponerings-værdi</t>
  </si>
  <si>
    <t>Eksponerings-værdi inden anvendelse af kreditrisikore-duktions-teknikker</t>
  </si>
  <si>
    <t>Eksponerings-værdi efter anvendelse af kreditrisikore-duktionsteknikker</t>
  </si>
  <si>
    <t>Eksponerings-værdi</t>
  </si>
  <si>
    <t>Eksponerings-vægtet gennemsnit-lig PD (%)</t>
  </si>
  <si>
    <t>Eksponerings-vægtet gennemsnit-lig LGD (%)</t>
  </si>
  <si>
    <t>Eksponerings-vægtet gennemsnit-lig løbetid (år)</t>
  </si>
  <si>
    <t>Kapitalgrundlags-krav</t>
  </si>
  <si>
    <t>Investerings-bankvirksom-hed</t>
  </si>
  <si>
    <t>Uafhængige interne kontrolfunk-tioner</t>
  </si>
  <si>
    <t>Aktiver, modtagne sikkerheder og egne udstedte gældsværdipapirer, bortset fra særligt dækkede obligationer og særligt dækkede realkredit-obligationer og behæftede securitiseringer</t>
  </si>
  <si>
    <t>EU OV1</t>
  </si>
  <si>
    <t>EU KM1</t>
  </si>
  <si>
    <t>EU INS1</t>
  </si>
  <si>
    <t>EU INS2</t>
  </si>
  <si>
    <t>EU LI1</t>
  </si>
  <si>
    <t>EU LI2</t>
  </si>
  <si>
    <t>EU LI3</t>
  </si>
  <si>
    <t>EU PV1</t>
  </si>
  <si>
    <t>EU CC1</t>
  </si>
  <si>
    <t>EU CC2</t>
  </si>
  <si>
    <t>EU-CCyB1</t>
  </si>
  <si>
    <t>EU-CCyB2</t>
  </si>
  <si>
    <t>EU LR1</t>
  </si>
  <si>
    <t>EU LR2</t>
  </si>
  <si>
    <t>EU LR3</t>
  </si>
  <si>
    <t>EU LIQ1</t>
  </si>
  <si>
    <t>EU LIQ2</t>
  </si>
  <si>
    <t xml:space="preserve">EU CR1 </t>
  </si>
  <si>
    <t>EU CR1-A</t>
  </si>
  <si>
    <t xml:space="preserve">EU CR2 </t>
  </si>
  <si>
    <t>EU CR2a</t>
  </si>
  <si>
    <t xml:space="preserve">EU CQ1 </t>
  </si>
  <si>
    <t xml:space="preserve">EU CQ2 </t>
  </si>
  <si>
    <t xml:space="preserve">EU CQ3 </t>
  </si>
  <si>
    <t xml:space="preserve">EU CQ4 </t>
  </si>
  <si>
    <t xml:space="preserve">EU CQ5 </t>
  </si>
  <si>
    <t xml:space="preserve">EU CQ6 </t>
  </si>
  <si>
    <t xml:space="preserve">EU CQ7 </t>
  </si>
  <si>
    <t xml:space="preserve">EU CQ8 </t>
  </si>
  <si>
    <t xml:space="preserve">EU CR3 </t>
  </si>
  <si>
    <t/>
  </si>
  <si>
    <t xml:space="preserve">EU CR4 </t>
  </si>
  <si>
    <t xml:space="preserve">EU CR5 </t>
  </si>
  <si>
    <t xml:space="preserve">EU CR6 </t>
  </si>
  <si>
    <t>EU CR6-A</t>
  </si>
  <si>
    <t xml:space="preserve">EU CR7 </t>
  </si>
  <si>
    <t>EU CR7-A</t>
  </si>
  <si>
    <t xml:space="preserve">EU CR8 </t>
  </si>
  <si>
    <t xml:space="preserve">EU CR9 </t>
  </si>
  <si>
    <t>EU CR9.1</t>
  </si>
  <si>
    <t>EU CR10</t>
  </si>
  <si>
    <t>EU CCR1</t>
  </si>
  <si>
    <t>EU CCR2</t>
  </si>
  <si>
    <t>EU CCR3</t>
  </si>
  <si>
    <t>EU CCR4</t>
  </si>
  <si>
    <t>EU CCR5</t>
  </si>
  <si>
    <t>EU CCR6</t>
  </si>
  <si>
    <t>EU CCR7</t>
  </si>
  <si>
    <t>EU CCR8</t>
  </si>
  <si>
    <t>EU-SEC1</t>
  </si>
  <si>
    <t>EU-SEC2</t>
  </si>
  <si>
    <t>EU-SEC3</t>
  </si>
  <si>
    <t>EU-SEC4</t>
  </si>
  <si>
    <t>EU-SEC5</t>
  </si>
  <si>
    <t xml:space="preserve">EU MR1 </t>
  </si>
  <si>
    <t>EU MR2-A</t>
  </si>
  <si>
    <t>EU MR2-B</t>
  </si>
  <si>
    <t xml:space="preserve">EU MR3 </t>
  </si>
  <si>
    <t xml:space="preserve">EU MR4 </t>
  </si>
  <si>
    <t xml:space="preserve">EU OR1 </t>
  </si>
  <si>
    <t>EU REM1</t>
  </si>
  <si>
    <t>EU REM2</t>
  </si>
  <si>
    <t>EU REM3</t>
  </si>
  <si>
    <t>EU REM4</t>
  </si>
  <si>
    <t>EU REM5</t>
  </si>
  <si>
    <t xml:space="preserve">EU AE1 </t>
  </si>
  <si>
    <t xml:space="preserve">EU AE2 </t>
  </si>
  <si>
    <t xml:space="preserve">EU AE3 </t>
  </si>
  <si>
    <t>Oversigt over samlede risikoeksponeringer</t>
  </si>
  <si>
    <t>Skema om væsentlige målekriterier</t>
  </si>
  <si>
    <t>Forsikringsinteresser</t>
  </si>
  <si>
    <t>Finansielle konglomerater — Oplysninger om kapitalgrundlag og kapitalprocent</t>
  </si>
  <si>
    <t xml:space="preserve">Forskelle mellem de regnskabsmæssige rammer og rammerne for tilsynsmæssig konsolidering og sammenstilling af regnskabskategorierne og lovmæssigt fastsatte risikokategorier </t>
  </si>
  <si>
    <t xml:space="preserve">Primære kilder til forskelle mellem de tilsynsmæssige eksponeringsbeløb og regnskabsmæssige værdier </t>
  </si>
  <si>
    <t xml:space="preserve">Skitsering af forskellene i konsolideringens omfang (enhed for enhed) </t>
  </si>
  <si>
    <t>Justeringer som følge af forsigtig værdiansættelse (PVA)</t>
  </si>
  <si>
    <t>Sammensætning af lovpligtigt kapitalgrundlag</t>
  </si>
  <si>
    <t>Afstemning mellem lovbestemt kapitalgrundlag og balancen i de reviderede regnskaber</t>
  </si>
  <si>
    <t>Geografisk fordeling af krediteksponeringer, der er relevante for beregningen af den kontracykliske kapitalbuffer</t>
  </si>
  <si>
    <t>Størrelsen af den institutspecifikke kontracykliske kapitalbuffer</t>
  </si>
  <si>
    <t>Afstemning mellem regnskabsmæssige aktiver og gearingsgradrelevante eksponeringer — oversigt</t>
  </si>
  <si>
    <t>Oplysninger om gearingsgrad — fælles regler</t>
  </si>
  <si>
    <t>Opdeling af balanceførte eksponeringer (ekskl. derivater, SFT'er og ikke medregnede eksponeringer)</t>
  </si>
  <si>
    <t>Kvantitative oplysninger om likviditetsdækningsgrad</t>
  </si>
  <si>
    <t xml:space="preserve">Net stable funding ratio </t>
  </si>
  <si>
    <t xml:space="preserve">Ikkemisligholdte og misligholdte eksponeringer og dertil knyttede bestemmelser. </t>
  </si>
  <si>
    <t>Løbetid på eksponeringer</t>
  </si>
  <si>
    <t>Ændringer i beholdningen af misligholdte lån og forskud</t>
  </si>
  <si>
    <t>Ændringer i beholdningen af misligholdte lån og forskud og akkumulerede inddrevne nettobeløb i forbindelse hermed</t>
  </si>
  <si>
    <t>Kreditkvalitet af eksponeringer med kreditlempelser</t>
  </si>
  <si>
    <t>Kvalitet af kreditlempelser</t>
  </si>
  <si>
    <t>Kreditkvalitet af ikkemisligholdte og misligholdte eksponeringer efter forfaldsdage</t>
  </si>
  <si>
    <t>Kvaliteten af misligholdte eksponeringer efter geografisk placering </t>
  </si>
  <si>
    <t>Kreditkvalitet af lån og forskud til ikkefinansielle selskaber efter branche</t>
  </si>
  <si>
    <t xml:space="preserve">Værdiansættelse af sikkerhedsstillelse - lån og forskud </t>
  </si>
  <si>
    <t xml:space="preserve">Sikkerhedsstillelse opnået gennem overtagelse og fuldbyrdelsesprocesser </t>
  </si>
  <si>
    <t>Sikkerhedsstillelse opnået gennem overtagelse og fuldbyrdelsesprocesser – opdeling efter årgang</t>
  </si>
  <si>
    <t>Overblik over kreditrisikoreduktionsteknikker  Offentliggørelse af anvendelsen af kreditrisikoreduktionsteknikker</t>
  </si>
  <si>
    <t>Standardmetode — Kreditrisikoeksponering og virkninger af kreditrisikoreduktionsteknikker</t>
  </si>
  <si>
    <t>Standardmetode</t>
  </si>
  <si>
    <t>IRB-metoden — kreditrisikoeksponeringer efter eksponeringsklasse og PD-interval</t>
  </si>
  <si>
    <t>IRB-metoden – anvendelsesområdet for IRB-metoden og SA-metoden</t>
  </si>
  <si>
    <t>IRB-metoden – Virkning af kreditderivater anvendt som CRM-teknikker på de risikovægtede eksponeringer</t>
  </si>
  <si>
    <t>IRB-metoden – Offentliggørelse af omfanget af anvendelsen af kreditrisikoreduktionsteknikker</t>
  </si>
  <si>
    <t xml:space="preserve">RWEA-flowtabeller for kreditrisikoeksponeringer i henhold til IRB-metoden. </t>
  </si>
  <si>
    <t>IRB-metoden – Back-testing af PD efter eksponeringsklasse. (fastsat PD-skala)</t>
  </si>
  <si>
    <t>IRB metoden – Back-testing af PD efter eksponeringsklasse (kun for PD-estimater i henhold til artikel 180, stk. 1, litra f), i CRR)</t>
  </si>
  <si>
    <t>Specialiseret långivning og aktieeksponeringer i henhold til den forenklede risikovægtningsmetode</t>
  </si>
  <si>
    <t>Analyse af modpartskreditrisikoeksponeringer efter metode</t>
  </si>
  <si>
    <t>Transaktioner underlagt kapitalgrundlagskrav for kreditværdijusteringsrisiko</t>
  </si>
  <si>
    <t>Standardmetoden — modpartskreditrisikoeksponeringer efter eksponeringsklasse og risikovægte</t>
  </si>
  <si>
    <t>IRB-metoden — modpartskreditrisikoeksponeringer efter eksponeringsklasse og PD-skala</t>
  </si>
  <si>
    <t>Sammensætning af sikkerhedsstillelse for modpartskreditrisikoeksponeringer</t>
  </si>
  <si>
    <t>Eksponering for kreditderivater</t>
  </si>
  <si>
    <t>RWEA-flowtabeller for markedsrisikoeksponeringer i henhold til IMM</t>
  </si>
  <si>
    <t>Modpartskreditrisikoeksponeringer</t>
  </si>
  <si>
    <t>Securitiseringseksponeringer uden for handelsbeholdningen</t>
  </si>
  <si>
    <t>Securitiseringseksponeringer i handelsbeholdningen</t>
  </si>
  <si>
    <t>Securitiseringseksponeringer uden for handelsbeholdningen og tilknyttede lovbestemte kapitalkrav - instituttet optræder som eksponeringsleverende eller organiserende institut</t>
  </si>
  <si>
    <t>Securitiseringseksponeringer uden for handelsbeholdningen og tilknyttede lovpligtige kapitalkrav - instituttet optræder som investorinstitut</t>
  </si>
  <si>
    <t>Eksponeringer securitiseret af instituttet - Misligholdte eksponeringer og specifikke kreditrisikojusteringer</t>
  </si>
  <si>
    <t>Markedsrisiko i henhold til standardmetoden</t>
  </si>
  <si>
    <t>Markedsrisiko i henhold til metoden med interne modeller (IMA)</t>
  </si>
  <si>
    <t>RWEA-flowtabeller for markedsrisikoeksponeringer i henhold til IMA</t>
  </si>
  <si>
    <t>IMA-værdier for handelsporteføljer</t>
  </si>
  <si>
    <t>Sammenligning af VaR-estimater med gevinster/tab</t>
  </si>
  <si>
    <t>Kapitalgrundlagskrav for operationel risiko og risikovægtede eksponeringer</t>
  </si>
  <si>
    <t xml:space="preserve">Aflønning tildelt i løbet af regnskabsåret </t>
  </si>
  <si>
    <t>Særlige betalinger til medarbejdere, hvis arbejde har væsentlig indflydelse på instituttets risikoprofil (identificerede medarbejdere)</t>
  </si>
  <si>
    <t xml:space="preserve">Udskudt aflønning </t>
  </si>
  <si>
    <t>Aflønning på 1 mio. EUR eller derover pr. regnskabsår</t>
  </si>
  <si>
    <t>Oplysninger om aflønning af medarbejdere, hvis arbejde har væsentlig indflydelse på instituttets risikoprofil (identificerede medarbejdere)</t>
  </si>
  <si>
    <t>Behæftede og ubehæftede aktiver</t>
  </si>
  <si>
    <t>Modtaget sikkerhedsstillelse og egne udstedte gældsværdipapirer</t>
  </si>
  <si>
    <t>Behæftelseskilder</t>
  </si>
  <si>
    <t>omfattet af modpartskreditrisiko</t>
  </si>
  <si>
    <t>omfattet af kreditrisiko</t>
  </si>
  <si>
    <t>omfattet af securitisering</t>
  </si>
  <si>
    <t>omfattet af markedsrisiko</t>
  </si>
  <si>
    <t>Heraf: kontantbaseret *)</t>
  </si>
  <si>
    <t>(DKK 1.000)</t>
  </si>
  <si>
    <t>Nedenstående skemaer vurderes ikke relevante for Fynske Bank.</t>
  </si>
  <si>
    <t>Balance som i de offentliggjorte regnskaber og under tilsynsmæssig ramme for konsolidering</t>
  </si>
  <si>
    <t>A</t>
  </si>
  <si>
    <t>A (Ref. EU-CC2)</t>
  </si>
  <si>
    <t>B (Ref. EU-CC2)</t>
  </si>
  <si>
    <t>B</t>
  </si>
  <si>
    <t>C</t>
  </si>
  <si>
    <t>C (Ref. EU-CC2)</t>
  </si>
  <si>
    <t>Overført resultat , primo</t>
  </si>
  <si>
    <t>Årets overskud fratrukket udbytte</t>
  </si>
  <si>
    <t>D</t>
  </si>
  <si>
    <t>D (Ref. EU-CC2)</t>
  </si>
  <si>
    <t>Udnyttet del af ramme til anskaffelse af egne aktier</t>
  </si>
  <si>
    <t>Anvendelsesområdet</t>
  </si>
  <si>
    <t>Likviditetskrav</t>
  </si>
  <si>
    <t>Eksponeringer mod kreditrisiko, udvandingsrisiko og kreditkvalitet</t>
  </si>
  <si>
    <t>Anvendelsen af kreditrisikoreduktionsteknikker</t>
  </si>
  <si>
    <t>Anvendelsen af standardmetoden</t>
  </si>
  <si>
    <t>Eksponeringer mod modpartskreditrisiko</t>
  </si>
  <si>
    <t>Anvendelsen af standardmetoden for markedsrisiko</t>
  </si>
  <si>
    <t>Aflønningspolitik</t>
  </si>
  <si>
    <r>
      <t>Kilde baseret på referencenumre/-bogstaver i balancen i henhold til den tilsynsmæssige ramme for konsolideringen</t>
    </r>
    <r>
      <rPr>
        <sz val="11"/>
        <color theme="0"/>
        <rFont val="Calibri"/>
        <family val="2"/>
        <scheme val="minor"/>
      </rPr>
      <t> </t>
    </r>
  </si>
  <si>
    <r>
      <rPr>
        <sz val="11"/>
        <color theme="1"/>
        <rFont val="Calibri"/>
        <family val="2"/>
        <scheme val="minor"/>
      </rPr>
      <t>Udskudte skatteaktiver, som skyldes midlertidige forskelle (beløb over tærsklen på 10 %, fratrukket tilknyttede skatteforpligtelser, hvis betingelserne i artikel 38, stk. 3, i CRR er opfyldt) (negativt beløb)</t>
    </r>
  </si>
  <si>
    <r>
      <rPr>
        <sz val="11"/>
        <color theme="1"/>
        <rFont val="Calibri"/>
        <family val="2"/>
        <scheme val="minor"/>
      </rPr>
      <t>Kvalificerede fradrag i hybrid kernekapital, der overstiger instituttets hybride kernekapitalposter (negativt beløb)</t>
    </r>
  </si>
  <si>
    <r>
      <rPr>
        <sz val="11"/>
        <color theme="1"/>
        <rFont val="Calibri"/>
        <family val="2"/>
        <scheme val="minor"/>
      </rPr>
      <t>Andre lovpligtige justeringer</t>
    </r>
  </si>
  <si>
    <r>
      <rPr>
        <sz val="11"/>
        <color theme="1"/>
        <rFont val="Calibri"/>
        <family val="2"/>
        <scheme val="minor"/>
      </rPr>
      <t>Kvalificerede fradrag i supplerende kapital, der overstiger instituttets supplerende kapitalposter (negativt beløb)</t>
    </r>
  </si>
  <si>
    <r>
      <rPr>
        <sz val="11"/>
        <color theme="1"/>
        <rFont val="Calibri"/>
        <family val="2"/>
        <scheme val="minor"/>
      </rPr>
      <t>EU-56a</t>
    </r>
    <r>
      <rPr>
        <sz val="11"/>
        <color rgb="FF000000"/>
        <rFont val="Calibri"/>
        <family val="2"/>
        <scheme val="minor"/>
      </rPr>
      <t> </t>
    </r>
  </si>
  <si>
    <r>
      <rPr>
        <sz val="11"/>
        <color theme="1"/>
        <rFont val="Calibri"/>
        <family val="2"/>
        <scheme val="minor"/>
      </rPr>
      <t>Ikke relevant</t>
    </r>
  </si>
  <si>
    <r>
      <rPr>
        <sz val="11"/>
        <color theme="1"/>
        <rFont val="Calibri"/>
        <family val="2"/>
        <scheme val="minor"/>
      </rPr>
      <t>Direkte og indirekte besiddelser af kapitalgrundlag og nedskrivningsrelevante passiver i enheder i den finansielle sektor, når instituttet ikke har væsentlige investeringer i disse enheder (beløb under tærsklen på 10 % og fratrukket anerkendte korte positioner)</t>
    </r>
    <r>
      <rPr>
        <sz val="11"/>
        <color rgb="FF000000"/>
        <rFont val="Calibri"/>
        <family val="2"/>
        <scheme val="minor"/>
      </rPr>
      <t xml:space="preserve">   </t>
    </r>
  </si>
  <si>
    <r>
      <rPr>
        <sz val="11"/>
        <color theme="1"/>
        <rFont val="Calibri"/>
        <family val="2"/>
        <scheme val="minor"/>
      </rPr>
      <t>Udskudte skatteaktiver, som skyldes midlertidige forskelle (beløb under tærsklen på 17,65 %, fratrukket tilknyttede skatteforpligtelser, hvis betingelserne i artikel 38, stk. 3, i CRR er opfyldt)</t>
    </r>
  </si>
  <si>
    <r>
      <t>Aktiver</t>
    </r>
    <r>
      <rPr>
        <sz val="11"/>
        <color rgb="FF000000"/>
        <rFont val="Calibri"/>
        <family val="2"/>
        <scheme val="minor"/>
      </rPr>
      <t xml:space="preserve"> — </t>
    </r>
    <r>
      <rPr>
        <i/>
        <sz val="11"/>
        <color rgb="FF000000"/>
        <rFont val="Calibri"/>
        <family val="2"/>
        <scheme val="minor"/>
      </rPr>
      <t>Opdeling efter aktivklasser i overensstemmelse med balancen i de offentliggjorte regnskaber</t>
    </r>
  </si>
  <si>
    <r>
      <t>Passiver</t>
    </r>
    <r>
      <rPr>
        <sz val="11"/>
        <color rgb="FF000000"/>
        <rFont val="Calibri"/>
        <family val="2"/>
        <scheme val="minor"/>
      </rPr>
      <t xml:space="preserve"> — </t>
    </r>
    <r>
      <rPr>
        <i/>
        <sz val="11"/>
        <color rgb="FF000000"/>
        <rFont val="Calibri"/>
        <family val="2"/>
        <scheme val="minor"/>
      </rPr>
      <t>Opdeling efter passivklasser i overensstemmelse med balancen i de offentliggjorte regnskaber</t>
    </r>
  </si>
  <si>
    <t>DKK 1.000</t>
  </si>
  <si>
    <r>
      <rPr>
        <sz val="11"/>
        <color theme="0"/>
        <rFont val="Segoe UI"/>
        <family val="2"/>
      </rPr>
      <t xml:space="preserve">Heraf </t>
    </r>
    <r>
      <rPr>
        <b/>
        <sz val="11"/>
        <color theme="0"/>
        <rFont val="Segoe UI"/>
        <family val="2"/>
      </rPr>
      <t>sikret ved sikkerhedsstillelse</t>
    </r>
    <r>
      <rPr>
        <sz val="11"/>
        <color theme="0"/>
        <rFont val="Segoe UI"/>
        <family val="2"/>
      </rPr>
      <t>:</t>
    </r>
    <r>
      <rPr>
        <b/>
        <sz val="11"/>
        <color theme="0"/>
        <rFont val="Segoe UI"/>
        <family val="2"/>
      </rPr>
      <t xml:space="preserve"> </t>
    </r>
  </si>
  <si>
    <r>
      <rPr>
        <sz val="11"/>
        <color theme="0"/>
        <rFont val="Segoe UI"/>
        <family val="2"/>
      </rPr>
      <t xml:space="preserve">Heraf </t>
    </r>
    <r>
      <rPr>
        <b/>
        <sz val="11"/>
        <color theme="0"/>
        <rFont val="Segoe UI"/>
        <family val="2"/>
      </rPr>
      <t>sikret ved finansielle garantier</t>
    </r>
  </si>
  <si>
    <r>
      <rPr>
        <sz val="11"/>
        <color theme="0"/>
        <rFont val="Segoe UI"/>
        <family val="2"/>
      </rPr>
      <t xml:space="preserve">Heraf </t>
    </r>
    <r>
      <rPr>
        <b/>
        <sz val="11"/>
        <color theme="0"/>
        <rFont val="Segoe UI"/>
        <family val="2"/>
      </rPr>
      <t>sikret ved kreditderivater</t>
    </r>
  </si>
  <si>
    <r>
      <rPr>
        <sz val="11"/>
        <color theme="1"/>
        <rFont val="Calibri"/>
        <family val="2"/>
        <scheme val="minor"/>
      </rPr>
      <t>EU</t>
    </r>
    <r>
      <rPr>
        <sz val="11"/>
        <color rgb="FFFF0000"/>
        <rFont val="Calibri"/>
        <family val="2"/>
        <scheme val="minor"/>
      </rPr>
      <t>-</t>
    </r>
    <r>
      <rPr>
        <sz val="11"/>
        <color rgb="FF000000"/>
        <rFont val="Calibri"/>
        <family val="2"/>
        <scheme val="minor"/>
      </rPr>
      <t>1</t>
    </r>
  </si>
  <si>
    <r>
      <rPr>
        <sz val="11"/>
        <color theme="1"/>
        <rFont val="Calibri"/>
        <family val="2"/>
        <scheme val="minor"/>
      </rPr>
      <t>EU</t>
    </r>
    <r>
      <rPr>
        <sz val="11"/>
        <color rgb="FFFF0000"/>
        <rFont val="Calibri"/>
        <family val="2"/>
        <scheme val="minor"/>
      </rPr>
      <t>-</t>
    </r>
    <r>
      <rPr>
        <sz val="11"/>
        <color rgb="FF000000"/>
        <rFont val="Calibri"/>
        <family val="2"/>
        <scheme val="minor"/>
      </rPr>
      <t>2</t>
    </r>
  </si>
  <si>
    <r>
      <rPr>
        <sz val="11"/>
        <color rgb="FF000000"/>
        <rFont val="Calibri"/>
        <family val="2"/>
        <scheme val="minor"/>
      </rPr>
      <t>Transaktioner underlagt den alternative metode (baseret på den oprindelige eksponeringsmetode)</t>
    </r>
  </si>
  <si>
    <t xml:space="preserve">Eksponeringsværdi i alt </t>
  </si>
  <si>
    <r>
      <rPr>
        <sz val="11"/>
        <color theme="1"/>
        <rFont val="Calibri"/>
        <family val="2"/>
        <scheme val="minor"/>
      </rPr>
      <t>Securitisering (specifik risiko)</t>
    </r>
  </si>
  <si>
    <t>Selskabsoplysninger</t>
  </si>
  <si>
    <t xml:space="preserve">Adresse: </t>
  </si>
  <si>
    <t>Reg.nr.</t>
  </si>
  <si>
    <t xml:space="preserve">CVR-nr. </t>
  </si>
  <si>
    <t xml:space="preserve">LEI-kode: </t>
  </si>
  <si>
    <t xml:space="preserve">Telefon: </t>
  </si>
  <si>
    <t xml:space="preserve">Mail: </t>
  </si>
  <si>
    <t xml:space="preserve">Hjemmeside: </t>
  </si>
  <si>
    <t>Indledning</t>
  </si>
  <si>
    <t>Nærværende rapportering er udarbejdet og opbygget i henhold til søjle III forordningen (EU-Kommissionens gennemførselsforordning (EU) 2021/637), der detaljeret præciserer søjle III-offentliggørelseskravene i CRR-forordningens artikel 431 til 455, samt de tilhørende tekniske standarder og retningslinjer fra EBA. Reglerne i bekendtgørelse om risikoeksponering, kapitalgrundlag og solvensbehov er ligeledes dækket af rapporteringen.</t>
  </si>
  <si>
    <t>Søjle III forordningen indeholder et omfattende sæt af oplysningsskemaer og – tabeller, som specificerer de konkrete offentliggørelseskrav. Der skelnes mellem:</t>
  </si>
  <si>
    <r>
      <t>·</t>
    </r>
    <r>
      <rPr>
        <sz val="12"/>
        <color theme="1"/>
        <rFont val="Times New Roman"/>
        <family val="1"/>
      </rPr>
      <t xml:space="preserve">         </t>
    </r>
    <r>
      <rPr>
        <sz val="12"/>
        <color theme="1"/>
        <rFont val="Calibri"/>
        <family val="2"/>
        <scheme val="minor"/>
      </rPr>
      <t>Skemaer (kvantitative krav – taloplysninger)</t>
    </r>
  </si>
  <si>
    <r>
      <t>·</t>
    </r>
    <r>
      <rPr>
        <sz val="12"/>
        <color theme="1"/>
        <rFont val="Times New Roman"/>
        <family val="1"/>
      </rPr>
      <t xml:space="preserve">         </t>
    </r>
    <r>
      <rPr>
        <sz val="12"/>
        <color theme="1"/>
        <rFont val="Calibri"/>
        <family val="2"/>
        <scheme val="minor"/>
      </rPr>
      <t>Tabeller (kvalitative krav – verbale beskrivelser)</t>
    </r>
  </si>
  <si>
    <t>Risikorapporten består af 2 dokumenter:</t>
  </si>
  <si>
    <t>1.</t>
  </si>
  <si>
    <t>2.</t>
  </si>
  <si>
    <t>Centrumpladsen 19, 5700 Svendborg</t>
  </si>
  <si>
    <t>25 80 28 88</t>
  </si>
  <si>
    <t>62 21 33 22</t>
  </si>
  <si>
    <t>post@fynskebank.dk</t>
  </si>
  <si>
    <t>www.fynskebank.dk</t>
  </si>
  <si>
    <t>Denne fil hvor alle skemaer er udfyldt med data (kvantitative krav) i hver sit ark. Derudover indeholder filen arket ”Indhold”, som er en oversigt over samtlige skemaer og tabeller og arket ”Erklæring” som indeholder ledelseserklæring på bankens søjle III oplysninger.</t>
  </si>
  <si>
    <t>Administrerende direktør</t>
  </si>
  <si>
    <t>Væsentlige målekriterier og oversigt over risikovægtede eksponeringsværdier</t>
  </si>
  <si>
    <t>213800JF3JFF6MMR2P36</t>
  </si>
  <si>
    <t>Der henvises til bankens vederlagsrapport som offenliggøres på bankens hjemmeside for yderligere specifikationer.</t>
  </si>
  <si>
    <t>*) Aflønning til ledelsen oplyses under et og væsentlige risikoetageres aflønning oplyses under et begge under hensyntagen til  Databeskyttelsesforordningen (GDPR -  (EU) 2016/679).</t>
  </si>
  <si>
    <t>*) Bestyrelsens og direktions aflønning oplyses under et under hensyntagen til  Databeskyttelsesforordningen (GDPR -  (EU) 2016/679).</t>
  </si>
  <si>
    <t>Skemaer der i Fynske Bank er uden indhold</t>
  </si>
  <si>
    <t>Udskudte skatteaktiver</t>
  </si>
  <si>
    <t>Aktuelle skatteforpligtelser</t>
  </si>
  <si>
    <t>Kontracyklisk kapitalbuffer</t>
  </si>
  <si>
    <t>Henning Dam</t>
  </si>
  <si>
    <t>1. halvår 2023</t>
  </si>
  <si>
    <t>31. dec. 2023</t>
  </si>
  <si>
    <t>EU-1a</t>
  </si>
  <si>
    <t>2</t>
  </si>
  <si>
    <t>3</t>
  </si>
  <si>
    <t>4</t>
  </si>
  <si>
    <t>5</t>
  </si>
  <si>
    <t>6a</t>
  </si>
  <si>
    <t>6b</t>
  </si>
  <si>
    <t>6c</t>
  </si>
  <si>
    <t>EU-12a</t>
  </si>
  <si>
    <t>EU-12b</t>
  </si>
  <si>
    <t>EU-12c</t>
  </si>
  <si>
    <t>EU-31a</t>
  </si>
  <si>
    <t>EU-32</t>
  </si>
  <si>
    <t>Minimumskrav for kapitalgrundlag og nedskrivningsrelevante passiver (MREL)</t>
  </si>
  <si>
    <t>Kapitalgrundlag og nedskrivningsrelevante passiver</t>
  </si>
  <si>
    <t>Heraf kapitalgrundlag og efterstillede passiver</t>
  </si>
  <si>
    <t>Afviklingskoncernens samlede risikoeksponering (SRE)</t>
  </si>
  <si>
    <t>Kapitalgrundlag og nedskrivningsrelevante passiver som en procentdel af SRE</t>
  </si>
  <si>
    <t>Afviklingskoncernens samlede eksponeringsmål (SEM)</t>
  </si>
  <si>
    <t>Kapitalgrundlag og nedskrivningsrelevante passiver som en procentdel af SEM</t>
  </si>
  <si>
    <t>Heraf kapitalgrundlag eller efterstillede passiver</t>
  </si>
  <si>
    <t>Finder undtagelsen fra efterstilling i artikel 72b, stk. 4, i forordning (EU) nr. 575/2013 anvendelse? (undtagelse på 5 %)</t>
  </si>
  <si>
    <t>Samlet beløb, der udgøres af tilladte ikke-efterstillede nedskrivningsrelevante passivinstrumenter, hvis der anvendes skønsmæssig efterstilling i overensstemmelse med artikel 72b, stk. 3, i forordning (EU) nr. 575/2013 (undtagelse på maks. 3,5 %)</t>
  </si>
  <si>
    <t>Hvis en reduceret undtagelse fra efterstilling finder anvendelse, jf. artikel 72b, stk. 3, i forordning (EU) nr. 575/2013, skal enhederne indberette det finansieringsbeløb, der er sidestillet med udelukkede passiver, og som er angivet i række 1, divideret med den udstedte finansiering, der er sidestillet med udelukkede passiver, og som ville skulle indregnes i række 1, hvis der ikke var anvendt noget loft (i %).</t>
  </si>
  <si>
    <t>Kapitalgrundlag og nedskrivningsrelevante passivposter, forhold og bestanddele</t>
  </si>
  <si>
    <t>MREL udtrykt som en procentdel af SRE</t>
  </si>
  <si>
    <t>Heraf som skal opfyldes med kapitalgrundlag eller efterstillede passiver</t>
  </si>
  <si>
    <t>MREL udtrykt som en procentdel af SEM</t>
  </si>
  <si>
    <t>Krav til kapitalgrundlag og nedskrivningsrelevante passiver for G-SII'er (TLAC)</t>
  </si>
  <si>
    <t>Kapitalgrundlag og nedskrivningsrelevante passivposter og justeringer</t>
  </si>
  <si>
    <t>Egentlig kernekapital (CET1)</t>
  </si>
  <si>
    <t>Hybrid kernekapital (AT1)</t>
  </si>
  <si>
    <t>Tom gruppe i EU</t>
  </si>
  <si>
    <t>Supplerende kapital (T2)</t>
  </si>
  <si>
    <t>Kapitalgrundlag med henblik på artikel 92a i forordning (EU) nr. 575/2013 og artikel 45 i direktiv 2014/59/EU</t>
  </si>
  <si>
    <t>Kapitalgrundlag og nedskrivningsrelevante passiver: Ikke-lovpligtige kapitalelementer</t>
  </si>
  <si>
    <t>Nedskrivningsrelevante passivinstrumenter, der er udstedt direkte af afviklingsenheden, og som er efterstillet udelukkede passiver (ikke omfattet af overgangsbestemmelser)</t>
  </si>
  <si>
    <t>Nedskrivningsrelevante passivinstrumenter, der er udstedt af andre enheder inden for afviklingskoncernen, og som er efterstillet udelukkede passiver (ikke omfattet af overgangsbestemmelser)</t>
  </si>
  <si>
    <t>Nedskrivningsrelevante passivinstrumenter, der er efterstillet udelukkede passiver, udstedt før den 27. juni 2019 (efterstillet og omfattet af overgangsbestemmelser)</t>
  </si>
  <si>
    <t>Supplerende kapitalinstrumenter med en restløbetid på mindst ét år, for så vidt som de ikke kan betragtes som supplerende kapitalposter</t>
  </si>
  <si>
    <t>Nedskrivningsrelevante passiver, der ikke er efterstillet udelukkede passiver (ikke omfattet af overgangsbestemmelser, før indførelse af loftet)</t>
  </si>
  <si>
    <t>Nedskrivningsrelevante passiver, der ikke er efterstillet udelukkede passiver, udstedt før den 27. juni 2019 (før indførelse af loftet)</t>
  </si>
  <si>
    <t>Beløb, der udgøres af efterstillede nedskrivningsrelevante instrumenter, når det er relevant efter anvendelse artikel 72b, stk. 3, i CRR</t>
  </si>
  <si>
    <t>Nedskrivningsrelevante passivposter forud for justeringer</t>
  </si>
  <si>
    <t>Heraf efterstillede passivposter</t>
  </si>
  <si>
    <t>Kapitalgrundlag og nedskrivningsrelevante passiver: Justeringer af ikke-lovpligtige kapitalelementer</t>
  </si>
  <si>
    <t>Kapitalgrundlag og nedskrivningsrelevante passivposter forud for justeringer</t>
  </si>
  <si>
    <t>(Fradrag af eksponeringer mellem afviklingskoncerner, der er omfattet af multiple point of entry (MPE))</t>
  </si>
  <si>
    <t>(Fradrag af investeringer i andre nedskrivningsrelevante passivinstrumenter)</t>
  </si>
  <si>
    <t>Kapitalgrundlag og nedskrivningsrelevante passivposter efter justeringer</t>
  </si>
  <si>
    <t>Heraf: kapitalgrundlag og efterstillede passiver</t>
  </si>
  <si>
    <t>Afviklingskoncernens risikovægtede eksponeringsværdi og eksponeringsmål bag gearingsgraden</t>
  </si>
  <si>
    <t>Samlet risikoeksponering (SRE)</t>
  </si>
  <si>
    <t>Samlet eksponeringsmål (SEM)</t>
  </si>
  <si>
    <t>Andel bestående af kapitalgrundlag og nedskrivningsrelevante passiver</t>
  </si>
  <si>
    <t>Egentlig kernekapital (som en procentdel af SRE), der står til rådighed efter opfyldelse af afviklingskoncernens krav</t>
  </si>
  <si>
    <t>Institutspecifikt kombineret bufferkrav</t>
  </si>
  <si>
    <t>heraf kapitalbevaringsbufferkrav</t>
  </si>
  <si>
    <t>heraf kontracyklisk bufferkrav</t>
  </si>
  <si>
    <t>heraf systemisk risikobufferkrav</t>
  </si>
  <si>
    <t>heraf buffer for globalt systemisk vigtige institutter (G-SII-buffer) eller buffer for andre systemisk vigtige institutter (O-SII-buffer)</t>
  </si>
  <si>
    <t>Memorandumposter</t>
  </si>
  <si>
    <t>Det samlede beløb, der udgøres af udelukkede passiver, jf. artikel 72a, stk. 2, i forordning (EU) nr. 575/2013</t>
  </si>
  <si>
    <t>Prioritetsrækkefølge ved insolvens</t>
  </si>
  <si>
    <t>Beskrivelse af placeringer i prioritetsrækkefølgen ved insolvens (fritekst)</t>
  </si>
  <si>
    <t>Kapitalgrundlag og passiver, der potentielt er nedskrivningsrelevante med henblik på at opfylde MREL</t>
  </si>
  <si>
    <t>heraf restløbetid ≥ 1 år &lt; 2 år</t>
  </si>
  <si>
    <t>heraf restløbetid ≥ 2 år &lt; 5 år</t>
  </si>
  <si>
    <t>heraf restløbetid ≥ 5 år &lt; 10 år</t>
  </si>
  <si>
    <t>heraf restløbetid ≥ 10 år, dog undtagen værdipapirer uden udløbsdato</t>
  </si>
  <si>
    <t>heraf værdipapirer uden udløbsdato</t>
  </si>
  <si>
    <t>Summen af 1 til 6</t>
  </si>
  <si>
    <t>Skema EU KM2 - Væsentlige målekriterier</t>
  </si>
  <si>
    <t>Skema EU TLAC1 - Sammensætning</t>
  </si>
  <si>
    <t>Skema EU TLAC3b: Kreditorrækkefølge (afviklingsenhed)</t>
  </si>
  <si>
    <t>NEP-krav</t>
  </si>
  <si>
    <t>EU KM2</t>
  </si>
  <si>
    <t>EU TLAC1</t>
  </si>
  <si>
    <t>EU TLAC3b</t>
  </si>
  <si>
    <t>Væsentlige målekriterier</t>
  </si>
  <si>
    <t>Sammensætning</t>
  </si>
  <si>
    <t>Kreditorrækkefølge (afviklingsenhed)</t>
  </si>
  <si>
    <t>Hybrid kernekapital</t>
  </si>
  <si>
    <t>ikke-foranstillet seniorgæld</t>
  </si>
  <si>
    <t xml:space="preserve">Pdf-filen "Risikorapport 2024" som indeholder beskrivelser til tabellerne (kvalitative krav), hvor det enkelte afsnit er direkte henførbart til den enkelte række i tabellerne. </t>
  </si>
  <si>
    <t>Bankens søjle III-oplysningsforpligtelser pr. 31. december 2024 er udarbejdet i overensstemmelse med bankens bestyrelsesgodkendte politik for oplysning af søjle III-information, som er baseret på Europa-Parlamentets og Rådets forordning 2019/876 af 20. maj 2019, EU-Kommissionens implementerende regulering 2021/637 af 15. marts 2021 og EU-Kommissionens gennemførselsforordning 2021/763 af 23. april 2021, samt godkendt af bestyrelsen d. 27. februar 2025. Politikken fastsætter bankens interne kontroller og procedurer for yderligere søjle III-oplysningsforpligtelser og omfatter ansvarsfordeling såvel som fuldstændigheds- og dokumentationskrav.</t>
  </si>
  <si>
    <t>27. februar 2025</t>
  </si>
  <si>
    <t>1. halvår 2024</t>
  </si>
  <si>
    <t>Hensatte forpligtelser</t>
  </si>
  <si>
    <t>31. dec. 2024</t>
  </si>
  <si>
    <t>30. sept. 2024</t>
  </si>
  <si>
    <t>30. juni 2024</t>
  </si>
  <si>
    <t>31. marts 2024</t>
  </si>
  <si>
    <t>Ikke mislig-holdte ekspo-neringer med kreditlemp-elser</t>
  </si>
  <si>
    <t>Misligholdte eksponeringer med kreditlempelser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</si>
</sst>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0\ &quot;kr.&quot;;[Red]\-#,##0\ &quot;kr.&quot;"/>
    <numFmt numFmtId="43" formatCode="_-* #,##0.00_-;\-* #,##0.00_-;_-* &quot;-&quot;??_-;_-@_-"/>
    <numFmt numFmtId="164" formatCode="_-* #,##0_-;\-* #,##0_-;_-* &quot;-&quot;??_-;_-@_-"/>
    <numFmt numFmtId="165" formatCode="0_ ;\-0\ "/>
    <numFmt numFmtId="166" formatCode="_-* #,##0.0_-;\-* #,##0.0_-;_-* &quot;-&quot;??_-;_-@_-"/>
    <numFmt numFmtId="167" formatCode="#,##0_ ;\-#,##0\ "/>
    <numFmt numFmtId="168" formatCode="_ * #,##0.00_ ;_ * \-#,##0.00_ ;_ * &quot;-&quot;??_ ;_ @_ "/>
  </numFmts>
  <fonts count="14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color theme="1"/>
      <name val="Segoe UI"/>
      <family val="2"/>
    </font>
    <font>
      <sz val="11"/>
      <name val="Calibri"/>
      <family val="2"/>
      <scheme val="minor"/>
    </font>
    <font>
      <b/>
      <sz val="11"/>
      <name val="Calibri"/>
      <family val="2"/>
      <scheme val="minor"/>
    </font>
    <font>
      <sz val="9"/>
      <name val="Calibri"/>
      <family val="2"/>
      <scheme val="minor"/>
    </font>
    <font>
      <sz val="9"/>
      <name val="Calibri Light"/>
      <family val="2"/>
      <scheme val="major"/>
    </font>
    <font>
      <sz val="9"/>
      <color theme="1"/>
      <name val="Calibri"/>
      <family val="2"/>
      <scheme val="minor"/>
    </font>
    <font>
      <sz val="11"/>
      <color rgb="FF000000"/>
      <name val="Calibri"/>
      <family val="2"/>
      <scheme val="minor"/>
    </font>
    <font>
      <b/>
      <sz val="11"/>
      <color rgb="FF000000"/>
      <name val="Calibri"/>
      <family val="2"/>
      <scheme val="minor"/>
    </font>
    <font>
      <b/>
      <sz val="14"/>
      <name val="Calibri"/>
      <family val="2"/>
      <scheme val="minor"/>
    </font>
    <font>
      <sz val="10"/>
      <color theme="1"/>
      <name val="Arial"/>
      <family val="2"/>
    </font>
    <font>
      <b/>
      <sz val="7.5"/>
      <color theme="1"/>
      <name val="Segoe UI"/>
      <family val="2"/>
    </font>
    <font>
      <i/>
      <sz val="7.5"/>
      <color theme="1"/>
      <name val="Segoe UI"/>
      <family val="2"/>
    </font>
    <font>
      <sz val="7.5"/>
      <color theme="1"/>
      <name val="Segoe UI"/>
      <family val="2"/>
    </font>
    <font>
      <sz val="7.5"/>
      <color theme="1"/>
      <name val="Symbol"/>
      <family val="1"/>
      <charset val="2"/>
    </font>
    <font>
      <sz val="14"/>
      <color theme="1"/>
      <name val="Calibri"/>
      <family val="2"/>
      <scheme val="minor"/>
    </font>
    <font>
      <i/>
      <sz val="11"/>
      <color theme="1"/>
      <name val="Calibri"/>
      <family val="2"/>
      <scheme val="minor"/>
    </font>
    <font>
      <b/>
      <sz val="10"/>
      <color theme="1"/>
      <name val="Arial"/>
      <family val="2"/>
    </font>
    <font>
      <b/>
      <sz val="8"/>
      <color theme="1"/>
      <name val="Segoe UI"/>
      <family val="2"/>
    </font>
    <font>
      <sz val="8"/>
      <color theme="1"/>
      <name val="Arial"/>
      <family val="2"/>
    </font>
    <font>
      <sz val="8"/>
      <name val="Arial"/>
      <family val="2"/>
    </font>
    <font>
      <b/>
      <sz val="8"/>
      <name val="Arial"/>
      <family val="2"/>
    </font>
    <font>
      <b/>
      <sz val="8"/>
      <color theme="1"/>
      <name val="Arial"/>
      <family val="2"/>
    </font>
    <font>
      <b/>
      <sz val="8"/>
      <color rgb="FF000000"/>
      <name val="Arial"/>
      <family val="2"/>
    </font>
    <font>
      <sz val="8"/>
      <color rgb="FF000000"/>
      <name val="Arial"/>
      <family val="2"/>
    </font>
    <font>
      <b/>
      <strike/>
      <sz val="8"/>
      <color rgb="FFFF0000"/>
      <name val="Arial"/>
      <family val="2"/>
    </font>
    <font>
      <b/>
      <sz val="14"/>
      <color theme="1"/>
      <name val="Calibri"/>
      <family val="2"/>
      <scheme val="minor"/>
    </font>
    <font>
      <b/>
      <sz val="9"/>
      <name val="Calibri"/>
      <family val="2"/>
      <scheme val="minor"/>
    </font>
    <font>
      <sz val="8"/>
      <color theme="1"/>
      <name val="Calibri"/>
      <family val="2"/>
      <scheme val="minor"/>
    </font>
    <font>
      <sz val="10"/>
      <color theme="1"/>
      <name val="Calibri"/>
      <family val="2"/>
      <scheme val="minor"/>
    </font>
    <font>
      <sz val="12"/>
      <color rgb="FF000000"/>
      <name val="Times New Roman"/>
      <family val="1"/>
    </font>
    <font>
      <b/>
      <sz val="14"/>
      <color rgb="FF000000"/>
      <name val="Calibri"/>
      <family val="2"/>
      <scheme val="minor"/>
    </font>
    <font>
      <i/>
      <sz val="11"/>
      <color rgb="FF000000"/>
      <name val="Calibri"/>
      <family val="2"/>
      <scheme val="minor"/>
    </font>
    <font>
      <sz val="10"/>
      <name val="Arial"/>
      <family val="2"/>
    </font>
    <font>
      <strike/>
      <sz val="9"/>
      <name val="Calibri"/>
      <family val="2"/>
      <scheme val="minor"/>
    </font>
    <font>
      <b/>
      <sz val="11"/>
      <color rgb="FFFF0000"/>
      <name val="Calibri"/>
      <family val="2"/>
      <scheme val="minor"/>
    </font>
    <font>
      <sz val="11"/>
      <color theme="1"/>
      <name val="Calibri"/>
      <family val="2"/>
      <charset val="238"/>
      <scheme val="minor"/>
    </font>
    <font>
      <b/>
      <sz val="12"/>
      <color rgb="FF000000"/>
      <name val="Calibri"/>
      <family val="2"/>
      <scheme val="minor"/>
    </font>
    <font>
      <u/>
      <sz val="11"/>
      <color rgb="FF008080"/>
      <name val="Calibri"/>
      <family val="2"/>
      <scheme val="minor"/>
    </font>
    <font>
      <b/>
      <sz val="11"/>
      <color theme="1"/>
      <name val="Segoe UI"/>
      <family val="2"/>
    </font>
    <font>
      <sz val="12"/>
      <color theme="1"/>
      <name val="Calibri"/>
      <family val="2"/>
      <scheme val="minor"/>
    </font>
    <font>
      <i/>
      <sz val="11"/>
      <name val="Calibri"/>
      <family val="2"/>
      <scheme val="minor"/>
    </font>
    <font>
      <b/>
      <sz val="10"/>
      <name val="Calibri"/>
      <family val="2"/>
      <scheme val="minor"/>
    </font>
    <font>
      <sz val="8.5"/>
      <color theme="1"/>
      <name val="Segoe UI"/>
      <family val="2"/>
    </font>
    <font>
      <i/>
      <sz val="8"/>
      <color theme="1"/>
      <name val="Segoe UI"/>
      <family val="2"/>
    </font>
    <font>
      <b/>
      <i/>
      <sz val="8.5"/>
      <color theme="1"/>
      <name val="Segoe UI"/>
      <family val="2"/>
    </font>
    <font>
      <b/>
      <sz val="10"/>
      <color rgb="FF2F5773"/>
      <name val="Calibri"/>
      <family val="2"/>
      <scheme val="minor"/>
    </font>
    <font>
      <strike/>
      <sz val="11"/>
      <color rgb="FFFF0000"/>
      <name val="Calibri"/>
      <family val="2"/>
      <scheme val="minor"/>
    </font>
    <font>
      <b/>
      <i/>
      <sz val="11"/>
      <name val="Calibri"/>
      <family val="2"/>
      <scheme val="minor"/>
    </font>
    <font>
      <sz val="12"/>
      <name val="Calibri"/>
      <family val="2"/>
      <scheme val="minor"/>
    </font>
    <font>
      <sz val="8.5"/>
      <name val="Segoe UI"/>
      <family val="2"/>
    </font>
    <font>
      <b/>
      <sz val="8.5"/>
      <name val="Segoe UI"/>
      <family val="2"/>
    </font>
    <font>
      <b/>
      <sz val="8.5"/>
      <color theme="1"/>
      <name val="Segoe UI"/>
      <family val="2"/>
    </font>
    <font>
      <sz val="8.5"/>
      <color rgb="FF000000"/>
      <name val="Segoe UI"/>
      <family val="2"/>
    </font>
    <font>
      <i/>
      <sz val="8.5"/>
      <color theme="1"/>
      <name val="Segoe UI"/>
      <family val="2"/>
    </font>
    <font>
      <b/>
      <sz val="10"/>
      <color theme="1"/>
      <name val="Calibri"/>
      <family val="2"/>
      <scheme val="minor"/>
    </font>
    <font>
      <sz val="8"/>
      <color theme="1"/>
      <name val="Segoe UI"/>
      <family val="2"/>
    </font>
    <font>
      <i/>
      <sz val="8.5"/>
      <color rgb="FF000000"/>
      <name val="Segoe UI"/>
      <family val="2"/>
    </font>
    <font>
      <sz val="10"/>
      <color theme="1"/>
      <name val="Times New Roman"/>
      <family val="1"/>
    </font>
    <font>
      <sz val="7.5"/>
      <color theme="1"/>
      <name val="Calibri"/>
      <family val="2"/>
      <scheme val="minor"/>
    </font>
    <font>
      <sz val="7.5"/>
      <color rgb="FF000000"/>
      <name val="Segoe UI"/>
      <family val="2"/>
    </font>
    <font>
      <i/>
      <sz val="7.5"/>
      <color rgb="FF000000"/>
      <name val="Segoe UI"/>
      <family val="2"/>
    </font>
    <font>
      <b/>
      <i/>
      <sz val="7.5"/>
      <color rgb="FF000000"/>
      <name val="Segoe UI"/>
      <family val="2"/>
    </font>
    <font>
      <b/>
      <i/>
      <sz val="7.5"/>
      <color theme="1"/>
      <name val="Segoe UI"/>
      <family val="2"/>
    </font>
    <font>
      <sz val="11"/>
      <color rgb="FF000000"/>
      <name val="Segoe UI"/>
      <family val="2"/>
    </font>
    <font>
      <b/>
      <sz val="16"/>
      <color theme="1"/>
      <name val="Arial"/>
      <family val="2"/>
    </font>
    <font>
      <b/>
      <sz val="14"/>
      <color theme="1"/>
      <name val="Arial"/>
      <family val="2"/>
    </font>
    <font>
      <sz val="16"/>
      <color theme="1"/>
      <name val="Calibri"/>
      <family val="2"/>
      <scheme val="minor"/>
    </font>
    <font>
      <b/>
      <sz val="11"/>
      <color rgb="FF000000"/>
      <name val="Segoe UI"/>
      <family val="2"/>
    </font>
    <font>
      <sz val="8.5"/>
      <color theme="1"/>
      <name val="Calibri"/>
      <family val="2"/>
      <scheme val="minor"/>
    </font>
    <font>
      <b/>
      <sz val="8.5"/>
      <color theme="1"/>
      <name val="Calibri"/>
      <family val="2"/>
      <scheme val="minor"/>
    </font>
    <font>
      <sz val="11"/>
      <color rgb="FF1F497D"/>
      <name val="Calibri"/>
      <family val="2"/>
    </font>
    <font>
      <b/>
      <sz val="16"/>
      <color theme="1"/>
      <name val="Calibri"/>
      <family val="2"/>
      <scheme val="minor"/>
    </font>
    <font>
      <sz val="24"/>
      <color rgb="FF000000"/>
      <name val="Segoe UI"/>
      <family val="2"/>
    </font>
    <font>
      <b/>
      <sz val="8.5"/>
      <color rgb="FF000000"/>
      <name val="Segoe UI"/>
      <family val="2"/>
    </font>
    <font>
      <i/>
      <sz val="8.5"/>
      <name val="Segoe UI"/>
      <family val="2"/>
    </font>
    <font>
      <sz val="11"/>
      <color theme="1"/>
      <name val="Segoe UI"/>
      <family val="2"/>
    </font>
    <font>
      <i/>
      <sz val="11"/>
      <color theme="1"/>
      <name val="Segoe UI"/>
      <family val="2"/>
    </font>
    <font>
      <i/>
      <sz val="12"/>
      <color theme="1"/>
      <name val="Segoe UI"/>
      <family val="2"/>
    </font>
    <font>
      <b/>
      <sz val="12"/>
      <color theme="1"/>
      <name val="Segoe UI"/>
      <family val="2"/>
    </font>
    <font>
      <b/>
      <i/>
      <sz val="11"/>
      <color theme="1"/>
      <name val="Calibri"/>
      <family val="2"/>
      <scheme val="minor"/>
    </font>
    <font>
      <sz val="9"/>
      <color rgb="FF1F497D"/>
      <name val="Calibri"/>
      <family val="2"/>
    </font>
    <font>
      <sz val="9"/>
      <color theme="4" tint="-0.249977111117893"/>
      <name val="Calibri"/>
      <family val="2"/>
    </font>
    <font>
      <b/>
      <sz val="12"/>
      <color theme="1"/>
      <name val="Arial"/>
      <family val="2"/>
    </font>
    <font>
      <sz val="10"/>
      <color rgb="FFFF0000"/>
      <name val="Arial"/>
      <family val="2"/>
    </font>
    <font>
      <b/>
      <sz val="18"/>
      <color rgb="FFFF0000"/>
      <name val="Calibri"/>
      <family val="2"/>
      <scheme val="minor"/>
    </font>
    <font>
      <b/>
      <sz val="10"/>
      <name val="Arial"/>
      <family val="2"/>
    </font>
    <font>
      <sz val="8"/>
      <color rgb="FFFF0000"/>
      <name val="Segoe UI"/>
      <family val="2"/>
    </font>
    <font>
      <sz val="18"/>
      <color theme="1"/>
      <name val="Calibri"/>
      <family val="2"/>
      <scheme val="minor"/>
    </font>
    <font>
      <b/>
      <sz val="12"/>
      <name val="Arial"/>
      <family val="2"/>
    </font>
    <font>
      <b/>
      <sz val="10"/>
      <color rgb="FF000000"/>
      <name val="Arial"/>
      <family val="2"/>
    </font>
    <font>
      <sz val="11"/>
      <color theme="1"/>
      <name val="Arial"/>
      <family val="2"/>
    </font>
    <font>
      <i/>
      <sz val="10"/>
      <color theme="1"/>
      <name val="Arial"/>
      <family val="2"/>
    </font>
    <font>
      <i/>
      <u/>
      <sz val="11"/>
      <name val="Calibri"/>
      <family val="2"/>
      <scheme val="minor"/>
    </font>
    <font>
      <sz val="11"/>
      <color indexed="10"/>
      <name val="Calibri"/>
      <family val="2"/>
      <scheme val="minor"/>
    </font>
    <font>
      <sz val="8"/>
      <color rgb="FFFF0000"/>
      <name val="Calibri"/>
      <family val="2"/>
      <scheme val="minor"/>
    </font>
    <font>
      <strike/>
      <sz val="11"/>
      <name val="Calibri"/>
      <family val="2"/>
      <scheme val="minor"/>
    </font>
    <font>
      <sz val="10"/>
      <color indexed="8"/>
      <name val="Verdana"/>
      <family val="2"/>
    </font>
    <font>
      <b/>
      <sz val="9"/>
      <name val="Verdana"/>
      <family val="2"/>
    </font>
    <font>
      <b/>
      <sz val="20"/>
      <name val="Arial"/>
      <family val="2"/>
    </font>
    <font>
      <sz val="11"/>
      <name val="Arial"/>
      <family val="2"/>
    </font>
    <font>
      <sz val="11"/>
      <name val="Calibri"/>
      <family val="2"/>
      <charset val="238"/>
      <scheme val="minor"/>
    </font>
    <font>
      <sz val="9"/>
      <name val="Arial"/>
      <family val="2"/>
    </font>
    <font>
      <sz val="10"/>
      <name val="Calibri"/>
      <family val="2"/>
      <scheme val="minor"/>
    </font>
    <font>
      <b/>
      <sz val="12"/>
      <name val="Calibri"/>
      <family val="2"/>
      <scheme val="minor"/>
    </font>
    <font>
      <sz val="10"/>
      <color rgb="FF00B050"/>
      <name val="Arial"/>
      <family val="2"/>
    </font>
    <font>
      <sz val="10"/>
      <color theme="1"/>
      <name val="Verdana"/>
      <family val="2"/>
    </font>
    <font>
      <u/>
      <sz val="11"/>
      <color theme="10"/>
      <name val="Calibri"/>
      <family val="2"/>
      <scheme val="minor"/>
    </font>
    <font>
      <b/>
      <u/>
      <sz val="14"/>
      <color theme="10"/>
      <name val="Calibri"/>
      <family val="2"/>
      <scheme val="minor"/>
    </font>
    <font>
      <b/>
      <i/>
      <sz val="8.5"/>
      <name val="Segoe UI"/>
      <family val="2"/>
    </font>
    <font>
      <b/>
      <sz val="11"/>
      <color theme="0"/>
      <name val="Calibri"/>
      <family val="2"/>
      <scheme val="minor"/>
    </font>
    <font>
      <sz val="11"/>
      <color theme="0"/>
      <name val="Calibri"/>
      <family val="2"/>
      <scheme val="minor"/>
    </font>
    <font>
      <sz val="11"/>
      <color theme="0" tint="-4.9989318521683403E-2"/>
      <name val="Calibri"/>
      <family val="2"/>
      <scheme val="minor"/>
    </font>
    <font>
      <sz val="12"/>
      <color theme="0"/>
      <name val="Calibri"/>
      <family val="2"/>
      <scheme val="minor"/>
    </font>
    <font>
      <sz val="8.5"/>
      <color theme="0"/>
      <name val="Segoe UI"/>
      <family val="2"/>
    </font>
    <font>
      <sz val="11"/>
      <color theme="0"/>
      <name val="Segoe UI"/>
      <family val="2"/>
    </font>
    <font>
      <sz val="8.5"/>
      <color theme="0"/>
      <name val="Calibri"/>
      <family val="2"/>
      <scheme val="minor"/>
    </font>
    <font>
      <b/>
      <i/>
      <sz val="11"/>
      <color rgb="FF000000"/>
      <name val="Calibri"/>
      <family val="2"/>
      <scheme val="minor"/>
    </font>
    <font>
      <b/>
      <sz val="11"/>
      <color theme="0"/>
      <name val="Segoe UI"/>
      <family val="2"/>
    </font>
    <font>
      <sz val="10"/>
      <color rgb="FF000000"/>
      <name val="Calibri"/>
      <family val="2"/>
      <scheme val="minor"/>
    </font>
    <font>
      <sz val="10"/>
      <color theme="0"/>
      <name val="Arial"/>
      <family val="2"/>
    </font>
    <font>
      <u/>
      <sz val="11"/>
      <name val="Calibri"/>
      <family val="2"/>
      <scheme val="minor"/>
    </font>
    <font>
      <b/>
      <sz val="12"/>
      <color theme="1"/>
      <name val="Calibri"/>
      <family val="2"/>
      <scheme val="minor"/>
    </font>
    <font>
      <sz val="10"/>
      <color theme="0"/>
      <name val="Calibri"/>
      <family val="2"/>
      <scheme val="minor"/>
    </font>
    <font>
      <sz val="11"/>
      <color theme="0" tint="-0.499984740745262"/>
      <name val="Calibri"/>
      <family val="2"/>
      <scheme val="minor"/>
    </font>
    <font>
      <b/>
      <sz val="9"/>
      <color theme="0"/>
      <name val="Verdana"/>
      <family val="2"/>
    </font>
    <font>
      <b/>
      <strike/>
      <sz val="9"/>
      <color theme="0"/>
      <name val="Verdana"/>
      <family val="2"/>
    </font>
    <font>
      <b/>
      <sz val="14"/>
      <color theme="1"/>
      <name val="Calibri"/>
      <family val="2"/>
    </font>
    <font>
      <b/>
      <sz val="12"/>
      <color theme="1"/>
      <name val="Calibri"/>
      <family val="2"/>
    </font>
    <font>
      <sz val="12"/>
      <color theme="1"/>
      <name val="Calibri"/>
      <family val="2"/>
    </font>
    <font>
      <sz val="12"/>
      <color theme="1"/>
      <name val="Symbol"/>
      <family val="1"/>
      <charset val="2"/>
    </font>
    <font>
      <sz val="12"/>
      <color theme="1"/>
      <name val="Times New Roman"/>
      <family val="1"/>
    </font>
    <font>
      <b/>
      <sz val="9"/>
      <color theme="1"/>
      <name val="Calibri"/>
      <family val="2"/>
    </font>
    <font>
      <sz val="9"/>
      <color theme="1"/>
      <name val="Calibri"/>
      <family val="2"/>
    </font>
    <font>
      <b/>
      <sz val="14"/>
      <color theme="0"/>
      <name val="Calibri"/>
      <family val="2"/>
      <scheme val="minor"/>
    </font>
    <font>
      <b/>
      <sz val="12"/>
      <color theme="0"/>
      <name val="Calibri"/>
      <family val="2"/>
      <scheme val="minor"/>
    </font>
    <font>
      <b/>
      <sz val="10"/>
      <color theme="0"/>
      <name val="Calibri"/>
      <family val="2"/>
      <scheme val="minor"/>
    </font>
    <font>
      <sz val="9"/>
      <name val="Verdana"/>
      <family val="2"/>
    </font>
    <font>
      <sz val="9"/>
      <color theme="1"/>
      <name val="Verdana"/>
      <family val="2"/>
    </font>
    <font>
      <b/>
      <sz val="9"/>
      <color theme="1"/>
      <name val="Verdana"/>
      <family val="2"/>
    </font>
    <font>
      <b/>
      <sz val="9"/>
      <color rgb="FF7030A0"/>
      <name val="Verdana"/>
      <family val="2"/>
    </font>
    <font>
      <b/>
      <sz val="9"/>
      <color theme="1"/>
      <name val="Calibri"/>
      <family val="2"/>
      <scheme val="minor"/>
    </font>
    <font>
      <sz val="10"/>
      <color theme="1"/>
      <name val="Times New Roman"/>
      <family val="2"/>
    </font>
  </fonts>
  <fills count="24">
    <fill>
      <patternFill patternType="none"/>
    </fill>
    <fill>
      <patternFill patternType="gray125"/>
    </fill>
    <fill>
      <patternFill patternType="solid">
        <fgColor theme="0" tint="-4.9989318521683403E-2"/>
        <bgColor indexed="64"/>
      </patternFill>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BFBFBF"/>
        <bgColor indexed="64"/>
      </patternFill>
    </fill>
    <fill>
      <patternFill patternType="solid">
        <fgColor theme="0"/>
        <bgColor indexed="64"/>
      </patternFill>
    </fill>
    <fill>
      <patternFill patternType="solid">
        <fgColor theme="0" tint="-4.9989318521683403E-2"/>
        <bgColor theme="0" tint="-4.9989318521683403E-2"/>
      </patternFill>
    </fill>
    <fill>
      <patternFill patternType="darkTrellis">
        <fgColor theme="0" tint="-4.9989318521683403E-2"/>
        <bgColor theme="0" tint="-4.9989318521683403E-2"/>
      </patternFill>
    </fill>
    <fill>
      <patternFill patternType="solid">
        <fgColor theme="0" tint="-0.499984740745262"/>
        <bgColor indexed="64"/>
      </patternFill>
    </fill>
    <fill>
      <patternFill patternType="solid">
        <fgColor indexed="42"/>
        <bgColor indexed="64"/>
      </patternFill>
    </fill>
    <fill>
      <patternFill patternType="solid">
        <fgColor indexed="9"/>
        <bgColor indexed="64"/>
      </patternFill>
    </fill>
    <fill>
      <patternFill patternType="solid">
        <fgColor theme="0" tint="-0.34998626667073579"/>
        <bgColor indexed="64"/>
      </patternFill>
    </fill>
    <fill>
      <patternFill patternType="solid">
        <fgColor rgb="FFE7E6E6"/>
        <bgColor indexed="64"/>
      </patternFill>
    </fill>
    <fill>
      <patternFill patternType="solid">
        <fgColor theme="2"/>
        <bgColor indexed="64"/>
      </patternFill>
    </fill>
    <fill>
      <patternFill patternType="solid">
        <fgColor theme="1" tint="0.499984740745262"/>
        <bgColor indexed="64"/>
      </patternFill>
    </fill>
    <fill>
      <patternFill patternType="solid">
        <fgColor rgb="FF595959"/>
        <bgColor indexed="64"/>
      </patternFill>
    </fill>
    <fill>
      <patternFill patternType="solid">
        <fgColor rgb="FFA6A6A6"/>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1"/>
        <bgColor indexed="64"/>
      </patternFill>
    </fill>
    <fill>
      <patternFill patternType="solid">
        <fgColor theme="1"/>
        <bgColor theme="1"/>
      </patternFill>
    </fill>
    <fill>
      <patternFill patternType="lightGray">
        <bgColor theme="0" tint="-0.14996795556505021"/>
      </patternFill>
    </fill>
  </fills>
  <borders count="1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rgb="FF000000"/>
      </left>
      <right/>
      <top style="medium">
        <color indexed="64"/>
      </top>
      <bottom style="medium">
        <color indexed="64"/>
      </bottom>
      <diagonal/>
    </border>
    <border>
      <left/>
      <right/>
      <top style="medium">
        <color indexed="64"/>
      </top>
      <bottom/>
      <diagonal/>
    </border>
    <border>
      <left/>
      <right style="medium">
        <color rgb="FF000000"/>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thin">
        <color indexed="64"/>
      </bottom>
      <diagonal/>
    </border>
    <border>
      <left style="thin">
        <color theme="0"/>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style="thin">
        <color indexed="64"/>
      </bottom>
      <diagonal/>
    </border>
    <border>
      <left style="thin">
        <color theme="0" tint="-4.9989318521683403E-2"/>
      </left>
      <right/>
      <top style="thin">
        <color theme="0" tint="-4.9989318521683403E-2"/>
      </top>
      <bottom style="thin">
        <color indexed="64"/>
      </bottom>
      <diagonal/>
    </border>
    <border>
      <left style="thin">
        <color theme="0" tint="-4.9989318521683403E-2"/>
      </left>
      <right style="thin">
        <color theme="0" tint="-4.9989318521683403E-2"/>
      </right>
      <top style="thin">
        <color indexed="64"/>
      </top>
      <bottom style="thin">
        <color theme="0" tint="-4.9989318521683403E-2"/>
      </bottom>
      <diagonal/>
    </border>
    <border>
      <left style="thin">
        <color theme="0" tint="-4.9989318521683403E-2"/>
      </left>
      <right/>
      <top style="thin">
        <color indexed="64"/>
      </top>
      <bottom style="thin">
        <color theme="0" tint="-4.9989318521683403E-2"/>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theme="0"/>
      </right>
      <top/>
      <bottom style="thin">
        <color indexed="64"/>
      </bottom>
      <diagonal/>
    </border>
    <border>
      <left/>
      <right style="thin">
        <color theme="0"/>
      </right>
      <top/>
      <bottom/>
      <diagonal/>
    </border>
    <border>
      <left/>
      <right style="thin">
        <color theme="0"/>
      </right>
      <top/>
      <bottom style="thin">
        <color indexed="64"/>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auto="1"/>
      </right>
      <top style="thin">
        <color theme="0"/>
      </top>
      <bottom style="thin">
        <color theme="0"/>
      </bottom>
      <diagonal/>
    </border>
    <border>
      <left style="thin">
        <color auto="1"/>
      </left>
      <right style="thin">
        <color theme="0"/>
      </right>
      <top style="thin">
        <color theme="0"/>
      </top>
      <bottom style="thin">
        <color theme="0"/>
      </bottom>
      <diagonal/>
    </border>
    <border>
      <left/>
      <right/>
      <top/>
      <bottom style="thin">
        <color theme="0"/>
      </bottom>
      <diagonal/>
    </border>
    <border>
      <left/>
      <right style="thin">
        <color theme="0"/>
      </right>
      <top/>
      <bottom style="thin">
        <color theme="0"/>
      </bottom>
      <diagonal/>
    </border>
    <border>
      <left/>
      <right style="medium">
        <color rgb="FF000000"/>
      </right>
      <top/>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right style="medium">
        <color theme="0"/>
      </right>
      <top/>
      <bottom/>
      <diagonal/>
    </border>
    <border>
      <left style="medium">
        <color theme="0"/>
      </left>
      <right style="medium">
        <color theme="0"/>
      </right>
      <top style="medium">
        <color theme="1"/>
      </top>
      <bottom/>
      <diagonal/>
    </border>
    <border>
      <left style="medium">
        <color theme="0"/>
      </left>
      <right style="medium">
        <color theme="0"/>
      </right>
      <top style="thin">
        <color theme="0"/>
      </top>
      <bottom style="medium">
        <color theme="0"/>
      </bottom>
      <diagonal/>
    </border>
    <border>
      <left style="medium">
        <color theme="0"/>
      </left>
      <right style="medium">
        <color theme="0"/>
      </right>
      <top style="thin">
        <color theme="0"/>
      </top>
      <bottom/>
      <diagonal/>
    </border>
    <border>
      <left style="thin">
        <color theme="0"/>
      </left>
      <right style="thin">
        <color theme="0"/>
      </right>
      <top/>
      <bottom/>
      <diagonal/>
    </border>
    <border>
      <left style="thin">
        <color theme="0"/>
      </left>
      <right style="medium">
        <color theme="0"/>
      </right>
      <top style="thin">
        <color theme="0"/>
      </top>
      <bottom/>
      <diagonal/>
    </border>
    <border>
      <left style="medium">
        <color theme="0"/>
      </left>
      <right style="medium">
        <color theme="0"/>
      </right>
      <top/>
      <bottom/>
      <diagonal/>
    </border>
    <border>
      <left/>
      <right style="medium">
        <color indexed="64"/>
      </right>
      <top style="thin">
        <color indexed="64"/>
      </top>
      <bottom style="thin">
        <color indexed="64"/>
      </bottom>
      <diagonal/>
    </border>
    <border>
      <left/>
      <right/>
      <top style="thin">
        <color theme="0"/>
      </top>
      <bottom/>
      <diagonal/>
    </border>
    <border>
      <left/>
      <right/>
      <top/>
      <bottom style="medium">
        <color rgb="FF000000"/>
      </bottom>
      <diagonal/>
    </border>
    <border>
      <left style="thin">
        <color theme="0"/>
      </left>
      <right/>
      <top/>
      <bottom/>
      <diagonal/>
    </border>
    <border>
      <left style="thin">
        <color theme="0"/>
      </left>
      <right/>
      <top/>
      <bottom style="thin">
        <color indexed="64"/>
      </bottom>
      <diagonal/>
    </border>
    <border>
      <left/>
      <right style="thin">
        <color theme="0"/>
      </right>
      <top/>
      <bottom style="medium">
        <color indexed="64"/>
      </bottom>
      <diagonal/>
    </border>
    <border>
      <left style="thin">
        <color theme="0"/>
      </left>
      <right style="thin">
        <color indexed="64"/>
      </right>
      <top style="thin">
        <color theme="0"/>
      </top>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style="thin">
        <color theme="0" tint="-4.9989318521683403E-2"/>
      </right>
      <top/>
      <bottom style="thin">
        <color theme="0"/>
      </bottom>
      <diagonal/>
    </border>
    <border>
      <left style="thin">
        <color theme="0" tint="-4.9989318521683403E-2"/>
      </left>
      <right/>
      <top style="thin">
        <color theme="0" tint="-4.9989318521683403E-2"/>
      </top>
      <bottom/>
      <diagonal/>
    </border>
    <border>
      <left style="thin">
        <color theme="0"/>
      </left>
      <right style="thin">
        <color indexed="64"/>
      </right>
      <top style="thin">
        <color theme="0"/>
      </top>
      <bottom style="thin">
        <color indexed="64"/>
      </bottom>
      <diagonal/>
    </border>
    <border>
      <left style="thin">
        <color theme="0"/>
      </left>
      <right style="thin">
        <color theme="0"/>
      </right>
      <top style="thin">
        <color indexed="64"/>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thin">
        <color auto="1"/>
      </left>
      <right style="thin">
        <color theme="0"/>
      </right>
      <top style="thin">
        <color theme="0"/>
      </top>
      <bottom/>
      <diagonal/>
    </border>
    <border>
      <left style="thin">
        <color theme="0"/>
      </left>
      <right style="thin">
        <color auto="1"/>
      </right>
      <top/>
      <bottom style="thin">
        <color auto="1"/>
      </bottom>
      <diagonal/>
    </border>
    <border>
      <left style="thin">
        <color auto="1"/>
      </left>
      <right style="thin">
        <color theme="0"/>
      </right>
      <top/>
      <bottom style="thin">
        <color auto="1"/>
      </bottom>
      <diagonal/>
    </border>
    <border>
      <left style="thin">
        <color theme="0"/>
      </left>
      <right style="thin">
        <color auto="1"/>
      </right>
      <top style="thin">
        <color auto="1"/>
      </top>
      <bottom style="thin">
        <color theme="0"/>
      </bottom>
      <diagonal/>
    </border>
    <border>
      <left style="thin">
        <color auto="1"/>
      </left>
      <right style="thin">
        <color theme="0"/>
      </right>
      <top style="thin">
        <color auto="1"/>
      </top>
      <bottom style="thin">
        <color theme="0"/>
      </bottom>
      <diagonal/>
    </border>
    <border>
      <left style="thin">
        <color theme="0"/>
      </left>
      <right/>
      <top style="thin">
        <color theme="0"/>
      </top>
      <bottom style="thin">
        <color auto="1"/>
      </bottom>
      <diagonal/>
    </border>
    <border>
      <left/>
      <right style="thin">
        <color theme="0"/>
      </right>
      <top style="thin">
        <color theme="0"/>
      </top>
      <bottom style="thin">
        <color auto="1"/>
      </bottom>
      <diagonal/>
    </border>
    <border>
      <left style="thin">
        <color theme="0"/>
      </left>
      <right/>
      <top style="thin">
        <color auto="1"/>
      </top>
      <bottom style="thin">
        <color auto="1"/>
      </bottom>
      <diagonal/>
    </border>
    <border>
      <left/>
      <right style="thin">
        <color theme="0"/>
      </right>
      <top style="thin">
        <color auto="1"/>
      </top>
      <bottom style="thin">
        <color auto="1"/>
      </bottom>
      <diagonal/>
    </border>
    <border>
      <left style="thin">
        <color theme="0"/>
      </left>
      <right/>
      <top style="thin">
        <color auto="1"/>
      </top>
      <bottom style="thin">
        <color theme="0"/>
      </bottom>
      <diagonal/>
    </border>
    <border>
      <left/>
      <right style="thin">
        <color theme="0"/>
      </right>
      <top style="thin">
        <color auto="1"/>
      </top>
      <bottom style="thin">
        <color theme="0"/>
      </bottom>
      <diagonal/>
    </border>
    <border>
      <left/>
      <right/>
      <top style="thin">
        <color auto="1"/>
      </top>
      <bottom style="thin">
        <color theme="0"/>
      </bottom>
      <diagonal/>
    </border>
    <border>
      <left style="thin">
        <color theme="0"/>
      </left>
      <right style="thin">
        <color theme="0"/>
      </right>
      <top style="medium">
        <color theme="0"/>
      </top>
      <bottom style="thin">
        <color theme="0"/>
      </bottom>
      <diagonal/>
    </border>
    <border>
      <left/>
      <right style="thin">
        <color theme="0"/>
      </right>
      <top style="thin">
        <color auto="1"/>
      </top>
      <bottom/>
      <diagonal/>
    </border>
  </borders>
  <cellStyleXfs count="19">
    <xf numFmtId="0" fontId="0" fillId="0" borderId="0"/>
    <xf numFmtId="43" fontId="1" fillId="0" borderId="0" applyFont="0" applyFill="0" applyBorder="0" applyAlignment="0" applyProtection="0"/>
    <xf numFmtId="9" fontId="1" fillId="0" borderId="0" applyFont="0" applyFill="0" applyBorder="0" applyAlignment="0" applyProtection="0"/>
    <xf numFmtId="0" fontId="36" fillId="0" borderId="0">
      <alignment vertical="center"/>
    </xf>
    <xf numFmtId="3" fontId="36" fillId="11" borderId="1" applyFont="0">
      <alignment horizontal="right" vertical="center"/>
      <protection locked="0"/>
    </xf>
    <xf numFmtId="0" fontId="39" fillId="0" borderId="0"/>
    <xf numFmtId="0" fontId="36" fillId="0" borderId="0">
      <alignment vertical="center"/>
    </xf>
    <xf numFmtId="0" fontId="36" fillId="0" borderId="0"/>
    <xf numFmtId="0" fontId="36" fillId="0" borderId="0"/>
    <xf numFmtId="0" fontId="36" fillId="0" borderId="0"/>
    <xf numFmtId="0" fontId="92" fillId="0" borderId="0" applyNumberFormat="0" applyFill="0" applyBorder="0" applyAlignment="0" applyProtection="0"/>
    <xf numFmtId="0" fontId="102" fillId="12" borderId="34" applyNumberFormat="0" applyFill="0" applyBorder="0" applyAlignment="0" applyProtection="0">
      <alignment horizontal="left"/>
    </xf>
    <xf numFmtId="0" fontId="89" fillId="12" borderId="7" applyFont="0" applyBorder="0">
      <alignment horizontal="center" wrapText="1"/>
    </xf>
    <xf numFmtId="0" fontId="110" fillId="0" borderId="0" applyNumberFormat="0" applyFill="0" applyBorder="0" applyAlignment="0" applyProtection="0"/>
    <xf numFmtId="43" fontId="1" fillId="0" borderId="0" applyFont="0" applyFill="0" applyBorder="0" applyAlignment="0" applyProtection="0"/>
    <xf numFmtId="0" fontId="39" fillId="0" borderId="0"/>
    <xf numFmtId="43" fontId="1" fillId="0" borderId="0" applyFont="0" applyFill="0" applyBorder="0" applyAlignment="0" applyProtection="0"/>
    <xf numFmtId="168" fontId="145" fillId="0" borderId="0" applyFont="0" applyFill="0" applyBorder="0" applyAlignment="0" applyProtection="0"/>
    <xf numFmtId="9" fontId="145" fillId="0" borderId="0" applyFont="0" applyFill="0" applyBorder="0" applyAlignment="0" applyProtection="0"/>
  </cellStyleXfs>
  <cellXfs count="1353">
    <xf numFmtId="0" fontId="0" fillId="0" borderId="0" xfId="0"/>
    <xf numFmtId="0" fontId="5" fillId="0" borderId="0" xfId="0" applyFont="1"/>
    <xf numFmtId="164" fontId="5" fillId="0" borderId="0" xfId="1" applyNumberFormat="1" applyFont="1"/>
    <xf numFmtId="164" fontId="5" fillId="0" borderId="1" xfId="1" applyNumberFormat="1" applyFont="1" applyBorder="1" applyAlignment="1">
      <alignment vertical="center" wrapText="1"/>
    </xf>
    <xf numFmtId="164" fontId="6" fillId="0" borderId="1" xfId="1" applyNumberFormat="1" applyFont="1" applyBorder="1" applyAlignment="1">
      <alignment vertical="center"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7" fillId="0" borderId="0" xfId="0" applyFont="1"/>
    <xf numFmtId="164" fontId="5" fillId="2" borderId="1" xfId="1" applyNumberFormat="1" applyFont="1" applyFill="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indent="1"/>
    </xf>
    <xf numFmtId="0" fontId="8" fillId="0" borderId="0" xfId="0" applyFont="1"/>
    <xf numFmtId="0" fontId="5" fillId="0" borderId="1" xfId="0" applyFont="1" applyBorder="1" applyAlignment="1">
      <alignment horizontal="center" vertical="center" wrapText="1"/>
    </xf>
    <xf numFmtId="0" fontId="6" fillId="0" borderId="0" xfId="0" applyFont="1"/>
    <xf numFmtId="0" fontId="9" fillId="0" borderId="0" xfId="0" applyFont="1"/>
    <xf numFmtId="0" fontId="10" fillId="0" borderId="1" xfId="0" applyFont="1" applyBorder="1" applyAlignment="1">
      <alignment horizontal="center" vertical="center" wrapText="1"/>
    </xf>
    <xf numFmtId="43" fontId="10" fillId="0" borderId="1" xfId="0" applyNumberFormat="1" applyFont="1" applyBorder="1" applyAlignment="1">
      <alignment horizontal="right" vertical="center" wrapText="1"/>
    </xf>
    <xf numFmtId="0" fontId="10" fillId="0" borderId="1" xfId="0" applyFont="1" applyBorder="1" applyAlignment="1">
      <alignment horizontal="justify" vertical="center" wrapText="1"/>
    </xf>
    <xf numFmtId="164" fontId="10" fillId="0" borderId="1" xfId="1" applyNumberFormat="1" applyFont="1" applyFill="1" applyBorder="1" applyAlignment="1">
      <alignment horizontal="right" vertical="center" wrapText="1"/>
    </xf>
    <xf numFmtId="0" fontId="0" fillId="0" borderId="1" xfId="0" applyBorder="1"/>
    <xf numFmtId="0" fontId="11" fillId="3" borderId="1" xfId="0" applyFont="1" applyFill="1" applyBorder="1" applyAlignment="1">
      <alignment horizontal="center" vertical="center" wrapText="1"/>
    </xf>
    <xf numFmtId="2" fontId="10" fillId="0" borderId="1" xfId="0" applyNumberFormat="1" applyFont="1" applyBorder="1" applyAlignment="1">
      <alignment horizontal="right" vertical="center" wrapText="1"/>
    </xf>
    <xf numFmtId="164" fontId="10" fillId="0" borderId="1" xfId="1" applyNumberFormat="1" applyFont="1" applyBorder="1" applyAlignment="1">
      <alignment horizontal="right" vertical="center" wrapText="1"/>
    </xf>
    <xf numFmtId="0" fontId="5" fillId="0" borderId="1" xfId="0" applyFont="1" applyBorder="1" applyAlignment="1">
      <alignment horizontal="justify" vertical="center" wrapText="1"/>
    </xf>
    <xf numFmtId="0" fontId="2" fillId="0" borderId="0" xfId="0" applyFont="1"/>
    <xf numFmtId="2" fontId="5" fillId="0" borderId="1" xfId="0" applyNumberFormat="1" applyFont="1" applyBorder="1" applyAlignment="1">
      <alignment horizontal="right" vertical="center" wrapText="1"/>
    </xf>
    <xf numFmtId="0" fontId="5" fillId="0" borderId="7" xfId="0" applyFont="1" applyBorder="1" applyAlignment="1">
      <alignment vertical="center" wrapText="1"/>
    </xf>
    <xf numFmtId="0" fontId="10" fillId="0" borderId="1" xfId="0" applyFont="1" applyBorder="1" applyAlignment="1">
      <alignment vertical="center" wrapText="1"/>
    </xf>
    <xf numFmtId="164" fontId="10" fillId="0" borderId="1" xfId="1" applyNumberFormat="1" applyFont="1" applyBorder="1" applyAlignment="1">
      <alignment horizontal="center" vertical="center" wrapText="1"/>
    </xf>
    <xf numFmtId="0" fontId="3" fillId="3" borderId="1" xfId="0" applyFont="1" applyFill="1" applyBorder="1" applyAlignment="1">
      <alignment vertical="center" wrapText="1"/>
    </xf>
    <xf numFmtId="0" fontId="0" fillId="0" borderId="1" xfId="0" applyBorder="1" applyAlignment="1">
      <alignment horizontal="center" vertical="center" wrapText="1"/>
    </xf>
    <xf numFmtId="0" fontId="3" fillId="0" borderId="0" xfId="0" applyFont="1"/>
    <xf numFmtId="0" fontId="10" fillId="0" borderId="7" xfId="0" applyFont="1" applyBorder="1" applyAlignment="1">
      <alignment horizontal="left" vertical="center" wrapText="1"/>
    </xf>
    <xf numFmtId="0" fontId="10" fillId="0" borderId="0" xfId="0" applyFont="1" applyAlignment="1">
      <alignment horizontal="center" vertical="center" wrapText="1"/>
    </xf>
    <xf numFmtId="0" fontId="10" fillId="0" borderId="1" xfId="0" applyFont="1" applyBorder="1" applyAlignment="1">
      <alignment horizontal="left" vertical="center" wrapText="1"/>
    </xf>
    <xf numFmtId="0" fontId="10" fillId="0" borderId="2" xfId="0" applyFont="1" applyBorder="1" applyAlignment="1">
      <alignment horizontal="center" vertical="center" wrapText="1"/>
    </xf>
    <xf numFmtId="0" fontId="0" fillId="0" borderId="3" xfId="0" applyBorder="1"/>
    <xf numFmtId="0" fontId="0" fillId="0" borderId="0" xfId="0" applyFont="1"/>
    <xf numFmtId="0" fontId="0" fillId="0" borderId="0" xfId="0" applyAlignment="1">
      <alignment horizontal="center" vertical="center"/>
    </xf>
    <xf numFmtId="0" fontId="12" fillId="0" borderId="0" xfId="0" applyFont="1" applyAlignment="1">
      <alignment vertical="center"/>
    </xf>
    <xf numFmtId="0" fontId="0" fillId="5" borderId="1" xfId="0" applyFill="1" applyBorder="1" applyAlignment="1">
      <alignment horizontal="center" vertical="center" wrapText="1"/>
    </xf>
    <xf numFmtId="0" fontId="0" fillId="6" borderId="1" xfId="0" applyFill="1" applyBorder="1" applyAlignment="1">
      <alignment vertical="center" wrapText="1"/>
    </xf>
    <xf numFmtId="0" fontId="0" fillId="0" borderId="0" xfId="0" applyAlignment="1">
      <alignment horizontal="justify"/>
    </xf>
    <xf numFmtId="0" fontId="0" fillId="0" borderId="1" xfId="0" applyBorder="1" applyAlignment="1">
      <alignment horizontal="center" vertical="center"/>
    </xf>
    <xf numFmtId="0" fontId="0" fillId="5" borderId="1" xfId="0" applyFill="1" applyBorder="1" applyAlignment="1">
      <alignment vertical="center" wrapText="1"/>
    </xf>
    <xf numFmtId="164" fontId="13" fillId="0" borderId="1" xfId="1" applyNumberFormat="1" applyFont="1" applyBorder="1" applyAlignment="1">
      <alignment vertical="center" wrapText="1"/>
    </xf>
    <xf numFmtId="49" fontId="3" fillId="0" borderId="1" xfId="0" applyNumberFormat="1" applyFont="1" applyBorder="1" applyAlignment="1">
      <alignment horizontal="center" vertical="center"/>
    </xf>
    <xf numFmtId="0" fontId="3" fillId="5" borderId="1" xfId="0" applyFont="1" applyFill="1" applyBorder="1" applyAlignment="1">
      <alignment vertical="center" wrapText="1"/>
    </xf>
    <xf numFmtId="49" fontId="0" fillId="0" borderId="1" xfId="0" applyNumberFormat="1" applyBorder="1" applyAlignment="1">
      <alignment horizontal="center" vertical="center"/>
    </xf>
    <xf numFmtId="0" fontId="3" fillId="0" borderId="1" xfId="0" applyFont="1" applyBorder="1" applyAlignment="1">
      <alignment horizontal="center" vertical="center"/>
    </xf>
    <xf numFmtId="0" fontId="18" fillId="0" borderId="0" xfId="0" applyFont="1"/>
    <xf numFmtId="0" fontId="5"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0" borderId="1" xfId="0" applyFont="1" applyBorder="1" applyAlignment="1">
      <alignment vertical="center" wrapText="1"/>
    </xf>
    <xf numFmtId="164" fontId="0" fillId="0" borderId="1" xfId="1" applyNumberFormat="1" applyFont="1" applyBorder="1" applyAlignment="1">
      <alignment vertical="center" wrapText="1"/>
    </xf>
    <xf numFmtId="164" fontId="0" fillId="0" borderId="1" xfId="1" applyNumberFormat="1" applyFont="1" applyBorder="1" applyAlignment="1">
      <alignment horizontal="center" vertical="center" wrapText="1"/>
    </xf>
    <xf numFmtId="0" fontId="19" fillId="5" borderId="1" xfId="0" applyFont="1" applyFill="1" applyBorder="1" applyAlignment="1">
      <alignment vertical="center" wrapText="1"/>
    </xf>
    <xf numFmtId="0" fontId="0" fillId="0" borderId="1" xfId="0" applyBorder="1" applyAlignment="1">
      <alignment vertical="center" wrapText="1"/>
    </xf>
    <xf numFmtId="0" fontId="19" fillId="0" borderId="1" xfId="0" applyFont="1" applyBorder="1" applyAlignment="1">
      <alignment horizontal="left" vertical="center"/>
    </xf>
    <xf numFmtId="0" fontId="19" fillId="0" borderId="1" xfId="0" applyFont="1" applyBorder="1" applyAlignment="1">
      <alignment horizontal="center" vertical="center"/>
    </xf>
    <xf numFmtId="0" fontId="19" fillId="0" borderId="1" xfId="0" applyFont="1" applyBorder="1" applyAlignment="1">
      <alignment vertical="center"/>
    </xf>
    <xf numFmtId="0" fontId="20" fillId="0" borderId="0" xfId="0" applyFont="1"/>
    <xf numFmtId="0" fontId="4" fillId="0" borderId="0" xfId="0" applyFont="1" applyAlignment="1">
      <alignment vertical="center"/>
    </xf>
    <xf numFmtId="0" fontId="21" fillId="0" borderId="0" xfId="0" applyFont="1" applyAlignment="1">
      <alignment horizontal="center" vertical="center" wrapText="1"/>
    </xf>
    <xf numFmtId="0" fontId="21" fillId="0" borderId="0" xfId="0" applyFont="1" applyAlignment="1">
      <alignment horizontal="justify" vertical="center" wrapText="1"/>
    </xf>
    <xf numFmtId="0" fontId="22" fillId="0" borderId="1" xfId="0" applyFont="1" applyBorder="1" applyAlignment="1">
      <alignment horizontal="center" vertical="center" wrapText="1"/>
    </xf>
    <xf numFmtId="0" fontId="23" fillId="7" borderId="1" xfId="0" applyFont="1" applyFill="1" applyBorder="1" applyAlignment="1">
      <alignment horizontal="center" vertical="center" wrapText="1"/>
    </xf>
    <xf numFmtId="0" fontId="22" fillId="0" borderId="6"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1" xfId="0" applyFont="1" applyBorder="1" applyAlignment="1">
      <alignment horizontal="left" vertical="center" wrapText="1"/>
    </xf>
    <xf numFmtId="164" fontId="22" fillId="0" borderId="1" xfId="1" applyNumberFormat="1" applyFont="1" applyBorder="1" applyAlignment="1">
      <alignment horizontal="center" vertical="center" wrapText="1"/>
    </xf>
    <xf numFmtId="0" fontId="22" fillId="8" borderId="1" xfId="0" applyFont="1" applyFill="1" applyBorder="1" applyAlignment="1">
      <alignment horizontal="center" vertical="center" wrapText="1"/>
    </xf>
    <xf numFmtId="0" fontId="23" fillId="8" borderId="1" xfId="0" applyFont="1" applyFill="1" applyBorder="1" applyAlignment="1">
      <alignment horizontal="left" vertical="center" wrapText="1"/>
    </xf>
    <xf numFmtId="164" fontId="22" fillId="8" borderId="1" xfId="1" applyNumberFormat="1" applyFont="1" applyFill="1" applyBorder="1" applyAlignment="1">
      <alignment horizontal="center" vertical="center" wrapText="1"/>
    </xf>
    <xf numFmtId="164" fontId="25" fillId="8" borderId="1" xfId="1" applyNumberFormat="1" applyFont="1" applyFill="1" applyBorder="1" applyAlignment="1">
      <alignment horizontal="center" vertical="center" wrapText="1"/>
    </xf>
    <xf numFmtId="0" fontId="23" fillId="0" borderId="1" xfId="0" applyFont="1" applyBorder="1" applyAlignment="1">
      <alignment horizontal="left" vertical="center" wrapText="1"/>
    </xf>
    <xf numFmtId="0" fontId="22" fillId="9" borderId="1" xfId="0" applyFont="1" applyFill="1" applyBorder="1" applyAlignment="1">
      <alignment horizontal="center" vertical="center" wrapText="1"/>
    </xf>
    <xf numFmtId="164" fontId="22" fillId="9" borderId="1" xfId="1" applyNumberFormat="1" applyFont="1" applyFill="1" applyBorder="1" applyAlignment="1">
      <alignment horizontal="center" vertical="center" wrapText="1"/>
    </xf>
    <xf numFmtId="164" fontId="25" fillId="9" borderId="1" xfId="1" applyNumberFormat="1" applyFont="1" applyFill="1" applyBorder="1" applyAlignment="1">
      <alignment horizontal="center" vertical="center" wrapText="1"/>
    </xf>
    <xf numFmtId="0" fontId="25" fillId="0" borderId="1" xfId="0" applyFont="1" applyBorder="1" applyAlignment="1">
      <alignment horizontal="left" vertical="center" wrapText="1"/>
    </xf>
    <xf numFmtId="164" fontId="28" fillId="10" borderId="1" xfId="1" applyNumberFormat="1" applyFont="1" applyFill="1" applyBorder="1" applyAlignment="1">
      <alignment horizontal="justify" vertical="center" wrapText="1"/>
    </xf>
    <xf numFmtId="164" fontId="22" fillId="0" borderId="1" xfId="1" applyNumberFormat="1" applyFont="1" applyBorder="1" applyAlignment="1">
      <alignment vertical="top" wrapText="1"/>
    </xf>
    <xf numFmtId="164" fontId="25" fillId="0" borderId="1" xfId="1" applyNumberFormat="1" applyFont="1" applyBorder="1" applyAlignment="1">
      <alignment horizontal="justify" vertical="center" wrapText="1"/>
    </xf>
    <xf numFmtId="0" fontId="0" fillId="0" borderId="0" xfId="0" applyAlignment="1">
      <alignment wrapText="1"/>
    </xf>
    <xf numFmtId="0" fontId="0" fillId="0" borderId="0" xfId="0" applyAlignment="1">
      <alignment horizontal="center"/>
    </xf>
    <xf numFmtId="0" fontId="29" fillId="0" borderId="0" xfId="0" applyFont="1"/>
    <xf numFmtId="164" fontId="0" fillId="0" borderId="0" xfId="1" applyNumberFormat="1" applyFont="1" applyFill="1"/>
    <xf numFmtId="0" fontId="0" fillId="0" borderId="0" xfId="0" applyAlignment="1">
      <alignment vertical="center"/>
    </xf>
    <xf numFmtId="0" fontId="2" fillId="0" borderId="0" xfId="0" applyFont="1" applyAlignment="1">
      <alignment wrapText="1"/>
    </xf>
    <xf numFmtId="0" fontId="31" fillId="0" borderId="0" xfId="0" applyFont="1" applyAlignment="1">
      <alignment vertical="center"/>
    </xf>
    <xf numFmtId="0" fontId="32" fillId="0" borderId="0" xfId="0" applyFont="1" applyAlignment="1">
      <alignment vertical="center"/>
    </xf>
    <xf numFmtId="0" fontId="33" fillId="0" borderId="0" xfId="0" applyFont="1" applyAlignment="1">
      <alignment vertical="center"/>
    </xf>
    <xf numFmtId="0" fontId="10" fillId="0" borderId="0" xfId="0" applyFont="1" applyAlignment="1">
      <alignment vertical="center" wrapText="1"/>
    </xf>
    <xf numFmtId="0" fontId="0" fillId="0" borderId="1" xfId="0" applyBorder="1" applyAlignment="1">
      <alignment vertical="center"/>
    </xf>
    <xf numFmtId="0" fontId="11" fillId="0" borderId="1" xfId="0" applyFont="1" applyBorder="1" applyAlignment="1">
      <alignment vertical="center" wrapText="1"/>
    </xf>
    <xf numFmtId="164" fontId="10" fillId="0" borderId="1" xfId="1" applyNumberFormat="1" applyFont="1" applyFill="1" applyBorder="1" applyAlignment="1">
      <alignment horizontal="center" vertical="center" wrapText="1"/>
    </xf>
    <xf numFmtId="0" fontId="11" fillId="6" borderId="7" xfId="0" applyFont="1" applyFill="1" applyBorder="1" applyAlignment="1">
      <alignment vertical="center"/>
    </xf>
    <xf numFmtId="0" fontId="11" fillId="6" borderId="5" xfId="0" applyFont="1" applyFill="1" applyBorder="1" applyAlignment="1">
      <alignment vertical="center" wrapText="1"/>
    </xf>
    <xf numFmtId="164" fontId="11" fillId="6" borderId="1" xfId="1" applyNumberFormat="1" applyFont="1" applyFill="1" applyBorder="1" applyAlignment="1">
      <alignment vertical="center" wrapText="1"/>
    </xf>
    <xf numFmtId="164" fontId="11" fillId="6" borderId="1" xfId="1" applyNumberFormat="1" applyFont="1" applyFill="1" applyBorder="1" applyAlignment="1">
      <alignment horizontal="center" vertical="center" wrapText="1"/>
    </xf>
    <xf numFmtId="0" fontId="10" fillId="0" borderId="1" xfId="0" applyFont="1" applyBorder="1" applyAlignment="1">
      <alignment horizontal="left" vertical="center" wrapText="1" indent="1"/>
    </xf>
    <xf numFmtId="164" fontId="0" fillId="0" borderId="0" xfId="1" applyNumberFormat="1" applyFont="1"/>
    <xf numFmtId="0" fontId="9"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0" borderId="1" xfId="0" quotePrefix="1" applyFont="1" applyBorder="1" applyAlignment="1">
      <alignment horizontal="center"/>
    </xf>
    <xf numFmtId="0" fontId="30" fillId="4" borderId="1" xfId="3" applyFont="1" applyFill="1" applyBorder="1" applyAlignment="1">
      <alignment horizontal="left" vertical="center" wrapText="1" indent="1"/>
    </xf>
    <xf numFmtId="3" fontId="7" fillId="4" borderId="1" xfId="4" applyFont="1" applyFill="1" applyAlignment="1">
      <alignment horizontal="center" vertical="center"/>
      <protection locked="0"/>
    </xf>
    <xf numFmtId="0" fontId="9" fillId="4" borderId="1" xfId="0" applyFont="1" applyFill="1" applyBorder="1"/>
    <xf numFmtId="0" fontId="9" fillId="0" borderId="1" xfId="0" applyFont="1" applyBorder="1"/>
    <xf numFmtId="0" fontId="7" fillId="12" borderId="1" xfId="3" applyFont="1" applyFill="1" applyBorder="1" applyAlignment="1">
      <alignment horizontal="left" vertical="center" wrapText="1" indent="2"/>
    </xf>
    <xf numFmtId="3" fontId="7" fillId="0" borderId="1" xfId="4" applyFont="1" applyFill="1" applyAlignment="1">
      <alignment horizontal="center" vertical="center" wrapText="1"/>
      <protection locked="0"/>
    </xf>
    <xf numFmtId="3" fontId="7" fillId="0" borderId="1" xfId="4" quotePrefix="1" applyFont="1" applyFill="1" applyAlignment="1">
      <alignment horizontal="center" vertical="center" wrapText="1"/>
      <protection locked="0"/>
    </xf>
    <xf numFmtId="0" fontId="7" fillId="0" borderId="1" xfId="3" applyFont="1" applyBorder="1" applyAlignment="1">
      <alignment horizontal="left" vertical="center" wrapText="1" indent="3"/>
    </xf>
    <xf numFmtId="3" fontId="7" fillId="0" borderId="1" xfId="4" applyFont="1" applyFill="1" applyAlignment="1">
      <alignment horizontal="center" vertical="center"/>
      <protection locked="0"/>
    </xf>
    <xf numFmtId="0" fontId="9" fillId="0" borderId="1" xfId="0" quotePrefix="1" applyFont="1" applyBorder="1" applyAlignment="1">
      <alignment horizontal="center" vertical="center"/>
    </xf>
    <xf numFmtId="3" fontId="37" fillId="10" borderId="1" xfId="4" applyFont="1" applyFill="1" applyAlignment="1">
      <alignment horizontal="center" vertical="center"/>
      <protection locked="0"/>
    </xf>
    <xf numFmtId="0" fontId="0" fillId="0" borderId="1" xfId="0" quotePrefix="1" applyBorder="1" applyAlignment="1">
      <alignment horizontal="center" vertical="center"/>
    </xf>
    <xf numFmtId="0" fontId="5" fillId="0" borderId="1" xfId="3" applyFont="1" applyBorder="1" applyAlignment="1">
      <alignment horizontal="left" vertical="center" wrapText="1" indent="1"/>
    </xf>
    <xf numFmtId="3" fontId="5" fillId="0" borderId="1" xfId="4" applyFont="1" applyFill="1" applyAlignment="1">
      <alignment horizontal="center" vertical="center"/>
      <protection locked="0"/>
    </xf>
    <xf numFmtId="0" fontId="34" fillId="0" borderId="0" xfId="0" applyFont="1" applyAlignment="1">
      <alignment vertical="center" wrapText="1"/>
    </xf>
    <xf numFmtId="164" fontId="34" fillId="0" borderId="0" xfId="1" applyNumberFormat="1" applyFont="1" applyFill="1" applyAlignment="1">
      <alignment vertical="center" wrapText="1"/>
    </xf>
    <xf numFmtId="0" fontId="10" fillId="0" borderId="9" xfId="0" applyFont="1" applyBorder="1" applyAlignment="1">
      <alignment horizontal="center" vertical="center" wrapText="1"/>
    </xf>
    <xf numFmtId="164" fontId="5" fillId="0" borderId="1" xfId="1" quotePrefix="1" applyNumberFormat="1" applyFont="1" applyFill="1" applyBorder="1"/>
    <xf numFmtId="0" fontId="38" fillId="0" borderId="0" xfId="0" applyFont="1"/>
    <xf numFmtId="164" fontId="0" fillId="0" borderId="1" xfId="1" quotePrefix="1" applyNumberFormat="1" applyFont="1" applyFill="1" applyBorder="1" applyAlignment="1">
      <alignment wrapText="1"/>
    </xf>
    <xf numFmtId="164" fontId="2" fillId="0" borderId="1" xfId="1" quotePrefix="1" applyNumberFormat="1" applyFont="1" applyFill="1" applyBorder="1" applyAlignment="1">
      <alignment wrapText="1"/>
    </xf>
    <xf numFmtId="164" fontId="5" fillId="0" borderId="1" xfId="1" quotePrefix="1" applyNumberFormat="1" applyFont="1" applyFill="1" applyBorder="1" applyAlignment="1">
      <alignment wrapText="1"/>
    </xf>
    <xf numFmtId="164" fontId="0" fillId="0" borderId="1" xfId="1" applyNumberFormat="1" applyFont="1" applyFill="1" applyBorder="1"/>
    <xf numFmtId="164" fontId="0" fillId="0" borderId="1" xfId="1" quotePrefix="1" applyNumberFormat="1" applyFont="1" applyFill="1" applyBorder="1"/>
    <xf numFmtId="0" fontId="11" fillId="0" borderId="0" xfId="0" applyFont="1"/>
    <xf numFmtId="0" fontId="5" fillId="0" borderId="1" xfId="0" applyFont="1" applyBorder="1" applyAlignment="1">
      <alignment horizontal="center" vertical="center"/>
    </xf>
    <xf numFmtId="0" fontId="5" fillId="0" borderId="1" xfId="5" applyFont="1" applyBorder="1" applyAlignment="1">
      <alignment vertical="center" wrapText="1"/>
    </xf>
    <xf numFmtId="0" fontId="5" fillId="4" borderId="1" xfId="0" applyFont="1" applyFill="1" applyBorder="1" applyAlignment="1">
      <alignment horizontal="center"/>
    </xf>
    <xf numFmtId="0" fontId="5" fillId="4" borderId="1" xfId="0" quotePrefix="1" applyFont="1" applyFill="1" applyBorder="1" applyAlignment="1">
      <alignment wrapText="1"/>
    </xf>
    <xf numFmtId="164" fontId="0" fillId="4" borderId="1" xfId="1" quotePrefix="1" applyNumberFormat="1" applyFont="1" applyFill="1" applyBorder="1" applyAlignment="1">
      <alignment wrapText="1"/>
    </xf>
    <xf numFmtId="0" fontId="10" fillId="5" borderId="1" xfId="0" applyFont="1" applyFill="1" applyBorder="1" applyAlignment="1">
      <alignment vertical="center" wrapText="1"/>
    </xf>
    <xf numFmtId="0" fontId="5" fillId="0" borderId="1" xfId="0" applyFont="1" applyBorder="1" applyAlignment="1">
      <alignment horizontal="justify" vertical="top"/>
    </xf>
    <xf numFmtId="0" fontId="5" fillId="0" borderId="1" xfId="5" applyFont="1" applyBorder="1" applyAlignment="1">
      <alignment horizontal="justify" vertical="top"/>
    </xf>
    <xf numFmtId="0" fontId="10" fillId="5" borderId="1" xfId="0" applyFont="1" applyFill="1" applyBorder="1" applyAlignment="1">
      <alignment horizontal="center" vertical="center" wrapText="1"/>
    </xf>
    <xf numFmtId="0" fontId="0" fillId="0" borderId="1" xfId="0" applyBorder="1" applyAlignment="1">
      <alignment horizontal="left" vertical="center" wrapText="1" indent="1"/>
    </xf>
    <xf numFmtId="0" fontId="0" fillId="4" borderId="1" xfId="0" applyFill="1" applyBorder="1" applyAlignment="1">
      <alignment horizontal="center" vertical="center"/>
    </xf>
    <xf numFmtId="0" fontId="3" fillId="4" borderId="1" xfId="0" applyFont="1" applyFill="1" applyBorder="1" applyAlignment="1">
      <alignment horizontal="justify" vertical="top"/>
    </xf>
    <xf numFmtId="0" fontId="5" fillId="0" borderId="1" xfId="0" applyFont="1" applyBorder="1" applyAlignment="1">
      <alignment horizontal="justify" vertical="center"/>
    </xf>
    <xf numFmtId="0" fontId="5" fillId="0" borderId="1" xfId="0" applyFont="1" applyBorder="1" applyAlignment="1">
      <alignment horizontal="justify" vertical="top" wrapText="1"/>
    </xf>
    <xf numFmtId="0" fontId="5" fillId="4" borderId="1" xfId="5" applyFont="1" applyFill="1" applyBorder="1" applyAlignment="1">
      <alignment horizontal="justify" vertical="center"/>
    </xf>
    <xf numFmtId="0" fontId="0" fillId="4" borderId="1" xfId="5" applyFont="1" applyFill="1" applyBorder="1" applyAlignment="1">
      <alignment horizontal="justify" vertical="top"/>
    </xf>
    <xf numFmtId="0" fontId="6" fillId="0" borderId="1" xfId="0" applyFont="1" applyBorder="1" applyAlignment="1">
      <alignment vertical="center"/>
    </xf>
    <xf numFmtId="0" fontId="5" fillId="4" borderId="1" xfId="0" applyFont="1" applyFill="1" applyBorder="1" applyAlignment="1">
      <alignment horizontal="center" vertical="center"/>
    </xf>
    <xf numFmtId="0" fontId="6" fillId="4" borderId="1" xfId="0" applyFont="1" applyFill="1" applyBorder="1" applyAlignment="1">
      <alignment horizontal="justify" vertical="center"/>
    </xf>
    <xf numFmtId="43" fontId="5" fillId="0" borderId="1" xfId="1" quotePrefix="1" applyFont="1" applyFill="1" applyBorder="1" applyAlignment="1">
      <alignment wrapText="1"/>
    </xf>
    <xf numFmtId="0" fontId="10" fillId="5" borderId="1" xfId="0" applyFont="1" applyFill="1" applyBorder="1" applyAlignment="1">
      <alignment horizontal="left" vertical="center" wrapText="1" indent="1"/>
    </xf>
    <xf numFmtId="164" fontId="0" fillId="0" borderId="1" xfId="1" quotePrefix="1" applyNumberFormat="1" applyFont="1" applyBorder="1" applyAlignment="1">
      <alignment wrapText="1"/>
    </xf>
    <xf numFmtId="0" fontId="5" fillId="5" borderId="1" xfId="0" applyFont="1" applyFill="1" applyBorder="1" applyAlignment="1">
      <alignment horizontal="left" vertical="center" wrapText="1" indent="1"/>
    </xf>
    <xf numFmtId="0" fontId="40" fillId="0" borderId="0" xfId="0" applyFont="1" applyAlignment="1">
      <alignment vertical="center"/>
    </xf>
    <xf numFmtId="0" fontId="10" fillId="5" borderId="0" xfId="0" applyFont="1" applyFill="1" applyAlignment="1">
      <alignment vertical="center" wrapText="1"/>
    </xf>
    <xf numFmtId="164" fontId="0" fillId="5" borderId="1" xfId="1" applyNumberFormat="1" applyFont="1" applyFill="1" applyBorder="1" applyAlignment="1">
      <alignment vertical="center" wrapText="1"/>
    </xf>
    <xf numFmtId="0" fontId="35" fillId="5" borderId="1" xfId="0" applyFont="1" applyFill="1" applyBorder="1" applyAlignment="1">
      <alignment vertical="center" wrapText="1"/>
    </xf>
    <xf numFmtId="164" fontId="41" fillId="5" borderId="1" xfId="1" applyNumberFormat="1" applyFont="1" applyFill="1" applyBorder="1" applyAlignment="1">
      <alignment vertical="center" wrapText="1"/>
    </xf>
    <xf numFmtId="0" fontId="10" fillId="0" borderId="1" xfId="0" applyFont="1" applyBorder="1" applyAlignment="1">
      <alignment horizontal="center" vertical="center"/>
    </xf>
    <xf numFmtId="0" fontId="10" fillId="0" borderId="1" xfId="0" applyFont="1" applyBorder="1" applyAlignment="1">
      <alignment vertical="center"/>
    </xf>
    <xf numFmtId="164" fontId="10" fillId="0" borderId="1" xfId="1" applyNumberFormat="1" applyFont="1" applyFill="1" applyBorder="1" applyAlignment="1">
      <alignment vertical="center"/>
    </xf>
    <xf numFmtId="43" fontId="10" fillId="0" borderId="1" xfId="1" applyFont="1" applyFill="1" applyBorder="1" applyAlignment="1">
      <alignment vertical="center"/>
    </xf>
    <xf numFmtId="0" fontId="43" fillId="0" borderId="0" xfId="0" applyFont="1" applyAlignment="1">
      <alignment vertical="center"/>
    </xf>
    <xf numFmtId="0" fontId="43" fillId="0" borderId="0" xfId="0" applyFont="1"/>
    <xf numFmtId="0" fontId="43" fillId="0" borderId="0" xfId="0" applyFont="1" applyAlignment="1">
      <alignment vertical="center" wrapText="1"/>
    </xf>
    <xf numFmtId="0" fontId="46" fillId="0" borderId="18" xfId="0" applyFont="1" applyBorder="1" applyAlignment="1">
      <alignment horizontal="center" vertical="center" wrapText="1"/>
    </xf>
    <xf numFmtId="0" fontId="46" fillId="0" borderId="19" xfId="0" applyFont="1" applyBorder="1" applyAlignment="1">
      <alignment horizontal="center" vertical="center" wrapText="1"/>
    </xf>
    <xf numFmtId="0" fontId="46" fillId="0" borderId="12" xfId="0" applyFont="1" applyBorder="1" applyAlignment="1">
      <alignment vertical="center" wrapText="1"/>
    </xf>
    <xf numFmtId="0" fontId="46" fillId="0" borderId="21" xfId="0" applyFont="1" applyBorder="1" applyAlignment="1">
      <alignment horizontal="center" vertical="center" wrapText="1"/>
    </xf>
    <xf numFmtId="49" fontId="46" fillId="0" borderId="18" xfId="0" applyNumberFormat="1" applyFont="1" applyBorder="1" applyAlignment="1">
      <alignment horizontal="center" vertical="center" wrapText="1"/>
    </xf>
    <xf numFmtId="0" fontId="46" fillId="0" borderId="19" xfId="0" applyFont="1" applyBorder="1" applyAlignment="1">
      <alignment vertical="center" wrapText="1"/>
    </xf>
    <xf numFmtId="0" fontId="46" fillId="0" borderId="27" xfId="0" applyFont="1" applyBorder="1" applyAlignment="1">
      <alignment vertical="center" wrapText="1"/>
    </xf>
    <xf numFmtId="49" fontId="47" fillId="5" borderId="26" xfId="0" applyNumberFormat="1" applyFont="1" applyFill="1" applyBorder="1" applyAlignment="1">
      <alignment horizontal="center" vertical="center" wrapText="1"/>
    </xf>
    <xf numFmtId="49" fontId="46" fillId="0" borderId="26" xfId="0" applyNumberFormat="1" applyFont="1" applyBorder="1" applyAlignment="1">
      <alignment horizontal="center" vertical="center" wrapText="1"/>
    </xf>
    <xf numFmtId="0" fontId="48" fillId="0" borderId="27" xfId="0" applyFont="1" applyBorder="1" applyAlignment="1">
      <alignment vertical="center" wrapText="1"/>
    </xf>
    <xf numFmtId="0" fontId="49" fillId="0" borderId="0" xfId="0" applyFont="1" applyAlignment="1">
      <alignment vertical="center"/>
    </xf>
    <xf numFmtId="0" fontId="0" fillId="0" borderId="1" xfId="0" applyBorder="1" applyAlignment="1">
      <alignment horizontal="center"/>
    </xf>
    <xf numFmtId="0" fontId="5" fillId="0" borderId="1" xfId="0" applyFont="1" applyBorder="1" applyAlignment="1">
      <alignment wrapText="1"/>
    </xf>
    <xf numFmtId="0" fontId="51" fillId="0" borderId="1" xfId="0" applyFont="1" applyBorder="1" applyAlignment="1">
      <alignment horizontal="center" vertical="center"/>
    </xf>
    <xf numFmtId="0" fontId="51" fillId="0" borderId="1" xfId="0" applyFont="1" applyBorder="1" applyAlignment="1">
      <alignment wrapText="1"/>
    </xf>
    <xf numFmtId="0" fontId="52" fillId="0" borderId="0" xfId="0" applyFont="1" applyAlignment="1">
      <alignment vertical="center"/>
    </xf>
    <xf numFmtId="0" fontId="52" fillId="0" borderId="0" xfId="0" applyFont="1"/>
    <xf numFmtId="49" fontId="53" fillId="0" borderId="26" xfId="0" applyNumberFormat="1" applyFont="1" applyBorder="1" applyAlignment="1">
      <alignment horizontal="center" vertical="center" wrapText="1"/>
    </xf>
    <xf numFmtId="0" fontId="53" fillId="0" borderId="27" xfId="0" applyFont="1" applyBorder="1" applyAlignment="1">
      <alignment horizontal="left" vertical="center" wrapText="1" indent="1"/>
    </xf>
    <xf numFmtId="0" fontId="1" fillId="0" borderId="28" xfId="0" applyFont="1" applyBorder="1" applyAlignment="1">
      <alignment vertical="center" wrapText="1"/>
    </xf>
    <xf numFmtId="0" fontId="46" fillId="0" borderId="27" xfId="0" applyFont="1" applyBorder="1" applyAlignment="1">
      <alignment horizontal="center" vertical="center" wrapText="1"/>
    </xf>
    <xf numFmtId="0" fontId="46" fillId="0" borderId="26" xfId="0" applyFont="1" applyBorder="1" applyAlignment="1">
      <alignment horizontal="center" vertical="center" wrapText="1"/>
    </xf>
    <xf numFmtId="49" fontId="55" fillId="0" borderId="18" xfId="0" applyNumberFormat="1" applyFont="1" applyBorder="1" applyAlignment="1">
      <alignment horizontal="center" vertical="center" wrapText="1"/>
    </xf>
    <xf numFmtId="0" fontId="55" fillId="0" borderId="19" xfId="0" applyFont="1" applyBorder="1" applyAlignment="1">
      <alignment vertical="center" wrapText="1"/>
    </xf>
    <xf numFmtId="0" fontId="46" fillId="0" borderId="27" xfId="0" applyFont="1" applyBorder="1" applyAlignment="1">
      <alignment horizontal="left" vertical="center" wrapText="1" indent="1"/>
    </xf>
    <xf numFmtId="49" fontId="55" fillId="0" borderId="26" xfId="0" applyNumberFormat="1" applyFont="1" applyBorder="1" applyAlignment="1">
      <alignment horizontal="center" vertical="center" wrapText="1"/>
    </xf>
    <xf numFmtId="0" fontId="55" fillId="0" borderId="27" xfId="0" applyFont="1" applyBorder="1" applyAlignment="1">
      <alignment vertical="center" wrapText="1"/>
    </xf>
    <xf numFmtId="0" fontId="56" fillId="0" borderId="27" xfId="0" applyFont="1" applyBorder="1" applyAlignment="1">
      <alignment vertical="center" wrapText="1"/>
    </xf>
    <xf numFmtId="0" fontId="1" fillId="0" borderId="0" xfId="0" applyFont="1" applyAlignment="1">
      <alignment vertical="center"/>
    </xf>
    <xf numFmtId="0" fontId="46" fillId="0" borderId="0" xfId="0" applyFont="1" applyAlignment="1">
      <alignment vertical="center" wrapText="1"/>
    </xf>
    <xf numFmtId="0" fontId="46" fillId="0" borderId="23" xfId="0" applyFont="1" applyBorder="1" applyAlignment="1">
      <alignment horizontal="center" vertical="center" wrapText="1"/>
    </xf>
    <xf numFmtId="0" fontId="48" fillId="0" borderId="19" xfId="0" applyFont="1" applyBorder="1" applyAlignment="1">
      <alignment vertical="center" wrapText="1"/>
    </xf>
    <xf numFmtId="0" fontId="57" fillId="0" borderId="27" xfId="0" applyFont="1" applyBorder="1" applyAlignment="1">
      <alignment vertical="center" wrapText="1"/>
    </xf>
    <xf numFmtId="0" fontId="43" fillId="0" borderId="12" xfId="0" applyFont="1" applyBorder="1"/>
    <xf numFmtId="0" fontId="56" fillId="0" borderId="18" xfId="0" applyFont="1" applyBorder="1" applyAlignment="1">
      <alignment horizontal="center" vertical="center"/>
    </xf>
    <xf numFmtId="0" fontId="56" fillId="0" borderId="19" xfId="0" applyFont="1" applyBorder="1" applyAlignment="1">
      <alignment horizontal="center" vertical="center"/>
    </xf>
    <xf numFmtId="0" fontId="46" fillId="0" borderId="23" xfId="0" applyFont="1" applyBorder="1" applyAlignment="1">
      <alignment vertical="center"/>
    </xf>
    <xf numFmtId="0" fontId="46" fillId="7" borderId="23" xfId="0" applyFont="1" applyFill="1" applyBorder="1" applyAlignment="1">
      <alignment vertical="center" wrapText="1"/>
    </xf>
    <xf numFmtId="0" fontId="46" fillId="0" borderId="20" xfId="0" applyFont="1" applyBorder="1" applyAlignment="1">
      <alignment vertical="center"/>
    </xf>
    <xf numFmtId="0" fontId="46" fillId="0" borderId="30" xfId="0" applyFont="1" applyBorder="1" applyAlignment="1">
      <alignment vertical="center"/>
    </xf>
    <xf numFmtId="0" fontId="46" fillId="0" borderId="22" xfId="0" applyFont="1" applyBorder="1" applyAlignment="1">
      <alignment vertical="center" wrapText="1"/>
    </xf>
    <xf numFmtId="0" fontId="46" fillId="7" borderId="0" xfId="0" applyFont="1" applyFill="1" applyAlignment="1">
      <alignment vertical="top" wrapText="1"/>
    </xf>
    <xf numFmtId="0" fontId="53" fillId="0" borderId="24" xfId="0" applyFont="1" applyBorder="1" applyAlignment="1">
      <alignment horizontal="center" vertical="center" wrapText="1"/>
    </xf>
    <xf numFmtId="0" fontId="46" fillId="7" borderId="0" xfId="0" applyFont="1" applyFill="1" applyAlignment="1">
      <alignment vertical="center" wrapText="1"/>
    </xf>
    <xf numFmtId="0" fontId="46" fillId="7" borderId="12" xfId="0" applyFont="1" applyFill="1" applyBorder="1" applyAlignment="1">
      <alignment vertical="center" wrapText="1"/>
    </xf>
    <xf numFmtId="49" fontId="56" fillId="0" borderId="18" xfId="0" applyNumberFormat="1" applyFont="1" applyBorder="1" applyAlignment="1">
      <alignment horizontal="center" vertical="center" wrapText="1"/>
    </xf>
    <xf numFmtId="0" fontId="56" fillId="0" borderId="19" xfId="0" applyFont="1" applyBorder="1" applyAlignment="1">
      <alignment vertical="center" wrapText="1"/>
    </xf>
    <xf numFmtId="49" fontId="60" fillId="0" borderId="26" xfId="0" applyNumberFormat="1" applyFont="1" applyBorder="1" applyAlignment="1">
      <alignment horizontal="center" vertical="center" wrapText="1"/>
    </xf>
    <xf numFmtId="0" fontId="60" fillId="0" borderId="27" xfId="0" applyFont="1" applyBorder="1" applyAlignment="1">
      <alignment horizontal="left" vertical="center" wrapText="1" indent="1"/>
    </xf>
    <xf numFmtId="0" fontId="60" fillId="0" borderId="27" xfId="0" applyFont="1" applyBorder="1" applyAlignment="1">
      <alignment horizontal="left" vertical="center" wrapText="1" indent="5"/>
    </xf>
    <xf numFmtId="0" fontId="60" fillId="0" borderId="27" xfId="0" applyFont="1" applyBorder="1" applyAlignment="1">
      <alignment horizontal="left" vertical="center" wrapText="1" indent="10"/>
    </xf>
    <xf numFmtId="49" fontId="56" fillId="0" borderId="26" xfId="0" applyNumberFormat="1" applyFont="1" applyBorder="1" applyAlignment="1">
      <alignment horizontal="center" vertical="center" wrapText="1"/>
    </xf>
    <xf numFmtId="0" fontId="61" fillId="0" borderId="0" xfId="0" applyFont="1" applyAlignment="1">
      <alignment vertical="center"/>
    </xf>
    <xf numFmtId="0" fontId="43" fillId="0" borderId="28" xfId="0" applyFont="1" applyBorder="1"/>
    <xf numFmtId="0" fontId="62" fillId="0" borderId="0" xfId="0" applyFont="1" applyAlignment="1">
      <alignment vertical="center"/>
    </xf>
    <xf numFmtId="0" fontId="16" fillId="0" borderId="27" xfId="0" applyFont="1" applyBorder="1" applyAlignment="1">
      <alignment horizontal="center" vertical="center" wrapText="1"/>
    </xf>
    <xf numFmtId="0" fontId="16" fillId="0" borderId="27" xfId="0" applyFont="1" applyBorder="1" applyAlignment="1">
      <alignment horizontal="center" vertical="center"/>
    </xf>
    <xf numFmtId="0" fontId="62" fillId="0" borderId="0" xfId="0" applyFont="1"/>
    <xf numFmtId="0" fontId="16" fillId="7" borderId="28" xfId="0" applyFont="1" applyFill="1" applyBorder="1" applyAlignment="1">
      <alignment vertical="center"/>
    </xf>
    <xf numFmtId="0" fontId="16" fillId="0" borderId="12" xfId="0" applyFont="1" applyBorder="1" applyAlignment="1">
      <alignment vertical="center" wrapText="1"/>
    </xf>
    <xf numFmtId="0" fontId="16" fillId="0" borderId="27" xfId="0" applyFont="1" applyBorder="1" applyAlignment="1">
      <alignment vertical="center" wrapText="1"/>
    </xf>
    <xf numFmtId="0" fontId="16" fillId="0" borderId="19" xfId="0" applyFont="1" applyBorder="1" applyAlignment="1">
      <alignment horizontal="center" vertical="center" wrapText="1"/>
    </xf>
    <xf numFmtId="0" fontId="16" fillId="0" borderId="12" xfId="0" applyFont="1" applyBorder="1" applyAlignment="1">
      <alignment horizontal="center" vertical="center" wrapText="1"/>
    </xf>
    <xf numFmtId="49" fontId="63" fillId="0" borderId="18" xfId="0" applyNumberFormat="1" applyFont="1" applyBorder="1" applyAlignment="1">
      <alignment horizontal="center" vertical="center" wrapText="1"/>
    </xf>
    <xf numFmtId="49" fontId="63" fillId="0" borderId="26" xfId="0" applyNumberFormat="1" applyFont="1" applyBorder="1" applyAlignment="1">
      <alignment horizontal="center" vertical="center" wrapText="1"/>
    </xf>
    <xf numFmtId="49" fontId="64" fillId="0" borderId="26" xfId="0" applyNumberFormat="1" applyFont="1" applyBorder="1" applyAlignment="1">
      <alignment horizontal="center" vertical="center" wrapText="1"/>
    </xf>
    <xf numFmtId="0" fontId="15" fillId="5" borderId="27" xfId="0" applyFont="1" applyFill="1" applyBorder="1" applyAlignment="1">
      <alignment horizontal="left" vertical="center" wrapText="1" indent="2"/>
    </xf>
    <xf numFmtId="49" fontId="65" fillId="0" borderId="26" xfId="0" applyNumberFormat="1" applyFont="1" applyBorder="1" applyAlignment="1">
      <alignment horizontal="center" vertical="center" wrapText="1"/>
    </xf>
    <xf numFmtId="0" fontId="66" fillId="0" borderId="27" xfId="0" applyFont="1" applyBorder="1" applyAlignment="1">
      <alignment vertical="center" wrapText="1"/>
    </xf>
    <xf numFmtId="0" fontId="0" fillId="0" borderId="0" xfId="0" applyAlignment="1">
      <alignment vertical="center" wrapText="1"/>
    </xf>
    <xf numFmtId="0" fontId="68" fillId="0" borderId="0" xfId="0" applyFont="1" applyAlignment="1">
      <alignment vertical="center" wrapText="1"/>
    </xf>
    <xf numFmtId="0" fontId="70" fillId="0" borderId="0" xfId="0" applyFont="1"/>
    <xf numFmtId="0" fontId="3" fillId="0" borderId="1" xfId="0" applyFont="1" applyBorder="1" applyAlignment="1">
      <alignment horizontal="center" vertical="center" wrapText="1"/>
    </xf>
    <xf numFmtId="0" fontId="72" fillId="0" borderId="1" xfId="0" applyFont="1" applyBorder="1" applyAlignment="1">
      <alignment horizontal="center" vertical="center" wrapText="1"/>
    </xf>
    <xf numFmtId="164" fontId="0" fillId="0" borderId="5" xfId="1" applyNumberFormat="1" applyFont="1" applyFill="1" applyBorder="1" applyAlignment="1">
      <alignment wrapText="1"/>
    </xf>
    <xf numFmtId="164" fontId="0" fillId="0" borderId="1" xfId="1" applyNumberFormat="1" applyFont="1" applyFill="1" applyBorder="1" applyAlignment="1">
      <alignment wrapText="1"/>
    </xf>
    <xf numFmtId="43" fontId="0" fillId="0" borderId="1" xfId="1" applyFont="1" applyFill="1" applyBorder="1" applyAlignment="1">
      <alignment wrapText="1"/>
    </xf>
    <xf numFmtId="0" fontId="5" fillId="0" borderId="1" xfId="0" applyFont="1" applyBorder="1" applyAlignment="1">
      <alignment horizontal="left" vertical="center" wrapText="1"/>
    </xf>
    <xf numFmtId="0" fontId="73" fillId="0" borderId="1" xfId="0" applyFont="1" applyBorder="1" applyAlignment="1">
      <alignment horizontal="center" vertical="center" wrapText="1"/>
    </xf>
    <xf numFmtId="0" fontId="73" fillId="0" borderId="1" xfId="0" applyFont="1" applyBorder="1" applyAlignment="1">
      <alignment vertical="center" wrapText="1"/>
    </xf>
    <xf numFmtId="0" fontId="3" fillId="7" borderId="8" xfId="0" applyFont="1" applyFill="1" applyBorder="1" applyAlignment="1">
      <alignment wrapText="1"/>
    </xf>
    <xf numFmtId="0" fontId="0" fillId="7" borderId="1" xfId="0" applyFill="1" applyBorder="1" applyAlignment="1">
      <alignment wrapText="1"/>
    </xf>
    <xf numFmtId="0" fontId="0" fillId="0" borderId="5" xfId="0" applyBorder="1" applyAlignment="1">
      <alignment wrapText="1"/>
    </xf>
    <xf numFmtId="0" fontId="0" fillId="0" borderId="1" xfId="0" applyBorder="1" applyAlignment="1">
      <alignment wrapText="1"/>
    </xf>
    <xf numFmtId="0" fontId="0" fillId="7" borderId="10" xfId="0" applyFill="1" applyBorder="1" applyAlignment="1">
      <alignment wrapText="1"/>
    </xf>
    <xf numFmtId="0" fontId="5" fillId="7" borderId="5" xfId="0" applyFont="1" applyFill="1" applyBorder="1" applyAlignment="1">
      <alignment horizontal="left" vertical="center" wrapText="1"/>
    </xf>
    <xf numFmtId="0" fontId="0" fillId="7" borderId="11" xfId="0" applyFill="1" applyBorder="1" applyAlignment="1">
      <alignment wrapText="1"/>
    </xf>
    <xf numFmtId="0" fontId="74" fillId="7" borderId="5" xfId="0" applyFont="1" applyFill="1" applyBorder="1" applyAlignment="1">
      <alignment horizontal="left" vertical="center" wrapText="1" indent="3"/>
    </xf>
    <xf numFmtId="0" fontId="0" fillId="7" borderId="9" xfId="0" applyFill="1" applyBorder="1" applyAlignment="1">
      <alignment wrapText="1"/>
    </xf>
    <xf numFmtId="0" fontId="0" fillId="20" borderId="1" xfId="0" applyFill="1" applyBorder="1" applyAlignment="1">
      <alignment wrapText="1"/>
    </xf>
    <xf numFmtId="0" fontId="3" fillId="7" borderId="1" xfId="0" applyFont="1" applyFill="1" applyBorder="1" applyAlignment="1">
      <alignment horizontal="center" vertical="center" wrapText="1"/>
    </xf>
    <xf numFmtId="0" fontId="0" fillId="7" borderId="1" xfId="0" applyFill="1" applyBorder="1" applyAlignment="1">
      <alignment horizontal="center" vertical="center"/>
    </xf>
    <xf numFmtId="0" fontId="68" fillId="0" borderId="0" xfId="0" applyFont="1" applyAlignment="1">
      <alignment wrapText="1"/>
    </xf>
    <xf numFmtId="0" fontId="75" fillId="0" borderId="0" xfId="0" applyFont="1"/>
    <xf numFmtId="0" fontId="55" fillId="0" borderId="0" xfId="0" applyFont="1" applyAlignment="1">
      <alignment vertical="center" wrapText="1"/>
    </xf>
    <xf numFmtId="0" fontId="46" fillId="0" borderId="0" xfId="0" applyFont="1" applyAlignment="1">
      <alignment horizontal="center" vertical="center" wrapText="1"/>
    </xf>
    <xf numFmtId="0" fontId="56" fillId="0" borderId="0" xfId="0" applyFont="1" applyAlignment="1">
      <alignment vertical="center" wrapText="1"/>
    </xf>
    <xf numFmtId="0" fontId="76" fillId="0" borderId="0" xfId="0" applyFont="1" applyAlignment="1">
      <alignment vertical="center" wrapText="1"/>
    </xf>
    <xf numFmtId="0" fontId="54" fillId="0" borderId="1" xfId="0" applyFont="1" applyBorder="1" applyAlignment="1">
      <alignment horizontal="center" vertical="center" wrapText="1"/>
    </xf>
    <xf numFmtId="0" fontId="77" fillId="0" borderId="1" xfId="0" applyFont="1" applyBorder="1" applyAlignment="1">
      <alignment horizontal="center" vertical="center" wrapText="1"/>
    </xf>
    <xf numFmtId="0" fontId="53" fillId="0" borderId="1" xfId="0" applyFont="1" applyBorder="1" applyAlignment="1">
      <alignment horizontal="center" vertical="center" wrapText="1"/>
    </xf>
    <xf numFmtId="0" fontId="56" fillId="0" borderId="1" xfId="0" applyFont="1" applyBorder="1" applyAlignment="1">
      <alignment horizontal="center" vertical="center" wrapText="1"/>
    </xf>
    <xf numFmtId="0" fontId="56" fillId="0" borderId="1" xfId="0" applyFont="1" applyBorder="1" applyAlignment="1">
      <alignment vertical="center" wrapText="1"/>
    </xf>
    <xf numFmtId="0" fontId="56" fillId="0" borderId="5" xfId="0" applyFont="1" applyBorder="1" applyAlignment="1">
      <alignment vertical="center" wrapText="1"/>
    </xf>
    <xf numFmtId="0" fontId="78" fillId="0" borderId="1" xfId="0" applyFont="1" applyBorder="1" applyAlignment="1">
      <alignment vertical="center" wrapText="1"/>
    </xf>
    <xf numFmtId="0" fontId="78" fillId="4" borderId="1" xfId="0" applyFont="1" applyFill="1" applyBorder="1" applyAlignment="1">
      <alignment vertical="center" wrapText="1"/>
    </xf>
    <xf numFmtId="0" fontId="60" fillId="0" borderId="1" xfId="0" applyFont="1" applyBorder="1" applyAlignment="1">
      <alignment vertical="center" wrapText="1"/>
    </xf>
    <xf numFmtId="0" fontId="60" fillId="4" borderId="1" xfId="0" applyFont="1" applyFill="1" applyBorder="1" applyAlignment="1">
      <alignment vertical="center" wrapText="1"/>
    </xf>
    <xf numFmtId="0" fontId="77" fillId="0" borderId="1" xfId="0" applyFont="1" applyBorder="1" applyAlignment="1">
      <alignment vertical="center" wrapText="1"/>
    </xf>
    <xf numFmtId="0" fontId="68" fillId="0" borderId="0" xfId="0" applyFont="1"/>
    <xf numFmtId="0" fontId="79" fillId="0" borderId="0" xfId="0" applyFont="1" applyAlignment="1">
      <alignment vertical="center" wrapText="1"/>
    </xf>
    <xf numFmtId="0" fontId="71" fillId="0" borderId="1" xfId="0" applyFont="1" applyBorder="1" applyAlignment="1">
      <alignment horizontal="center" vertical="center" wrapText="1"/>
    </xf>
    <xf numFmtId="0" fontId="79" fillId="0" borderId="1" xfId="0" applyFont="1" applyBorder="1" applyAlignment="1">
      <alignment horizontal="center" vertical="center" wrapText="1"/>
    </xf>
    <xf numFmtId="0" fontId="79" fillId="0" borderId="1" xfId="0" applyFont="1" applyBorder="1" applyAlignment="1">
      <alignment vertical="center" wrapText="1"/>
    </xf>
    <xf numFmtId="0" fontId="42" fillId="0" borderId="1" xfId="0" applyFont="1" applyBorder="1" applyAlignment="1">
      <alignment vertical="center" wrapText="1"/>
    </xf>
    <xf numFmtId="0" fontId="0" fillId="0" borderId="0" xfId="0" quotePrefix="1" applyAlignment="1">
      <alignment horizontal="left" vertical="center" indent="5"/>
    </xf>
    <xf numFmtId="0" fontId="46" fillId="7" borderId="6" xfId="0" applyFont="1" applyFill="1" applyBorder="1" applyAlignment="1">
      <alignment horizontal="center" vertical="center" wrapText="1"/>
    </xf>
    <xf numFmtId="0" fontId="46" fillId="7" borderId="11" xfId="0" applyFont="1" applyFill="1" applyBorder="1" applyAlignment="1">
      <alignment horizontal="center" vertical="center" wrapText="1"/>
    </xf>
    <xf numFmtId="0" fontId="46" fillId="7" borderId="8" xfId="0" applyFont="1" applyFill="1" applyBorder="1" applyAlignment="1">
      <alignment horizontal="center" vertical="center" wrapText="1"/>
    </xf>
    <xf numFmtId="0" fontId="46" fillId="0" borderId="1" xfId="0" applyFont="1" applyBorder="1" applyAlignment="1">
      <alignment horizontal="center" vertical="center" wrapText="1"/>
    </xf>
    <xf numFmtId="0" fontId="46" fillId="0" borderId="1" xfId="0" applyFont="1" applyBorder="1" applyAlignment="1">
      <alignment vertical="center" wrapText="1"/>
    </xf>
    <xf numFmtId="0" fontId="0" fillId="0" borderId="9" xfId="0" applyBorder="1"/>
    <xf numFmtId="0" fontId="0" fillId="0" borderId="15" xfId="0" applyBorder="1"/>
    <xf numFmtId="0" fontId="0" fillId="0" borderId="7" xfId="0" applyBorder="1"/>
    <xf numFmtId="0" fontId="19" fillId="0" borderId="1" xfId="0" applyFont="1" applyBorder="1"/>
    <xf numFmtId="0" fontId="57" fillId="0" borderId="1" xfId="0" applyFont="1" applyBorder="1" applyAlignment="1">
      <alignment vertical="center" wrapText="1"/>
    </xf>
    <xf numFmtId="0" fontId="46" fillId="7" borderId="1" xfId="0" applyFont="1" applyFill="1" applyBorder="1" applyAlignment="1">
      <alignment horizontal="center" vertical="center" wrapText="1"/>
    </xf>
    <xf numFmtId="0" fontId="83" fillId="0" borderId="0" xfId="0" applyFont="1"/>
    <xf numFmtId="0" fontId="3" fillId="0" borderId="1" xfId="0" applyFont="1" applyBorder="1" applyAlignment="1">
      <alignment vertical="center"/>
    </xf>
    <xf numFmtId="0" fontId="69" fillId="0" borderId="0" xfId="0" applyFont="1" applyAlignment="1">
      <alignment wrapText="1"/>
    </xf>
    <xf numFmtId="0" fontId="20" fillId="0" borderId="0" xfId="0" applyFont="1" applyAlignment="1">
      <alignment wrapText="1"/>
    </xf>
    <xf numFmtId="0" fontId="32" fillId="0" borderId="0" xfId="0" applyFont="1"/>
    <xf numFmtId="0" fontId="58" fillId="0" borderId="9" xfId="0" applyFont="1" applyBorder="1" applyAlignment="1">
      <alignment horizontal="center" vertical="center" wrapText="1"/>
    </xf>
    <xf numFmtId="0" fontId="58" fillId="0" borderId="10" xfId="0" applyFont="1" applyBorder="1" applyAlignment="1">
      <alignment vertical="center" wrapText="1"/>
    </xf>
    <xf numFmtId="0" fontId="7" fillId="0" borderId="5" xfId="0" applyFont="1" applyBorder="1" applyAlignment="1">
      <alignment horizontal="left" vertical="center" wrapText="1"/>
    </xf>
    <xf numFmtId="0" fontId="84" fillId="0" borderId="5" xfId="0" applyFont="1" applyBorder="1" applyAlignment="1">
      <alignment horizontal="left" vertical="center" wrapText="1" indent="3"/>
    </xf>
    <xf numFmtId="0" fontId="85" fillId="0" borderId="5" xfId="0" applyFont="1" applyBorder="1" applyAlignment="1">
      <alignment horizontal="left" vertical="center" wrapText="1" indent="3"/>
    </xf>
    <xf numFmtId="0" fontId="45" fillId="0" borderId="10" xfId="0" applyFont="1" applyBorder="1" applyAlignment="1">
      <alignment horizontal="center" vertical="center" wrapText="1"/>
    </xf>
    <xf numFmtId="0" fontId="5" fillId="0" borderId="1" xfId="0" applyFont="1" applyBorder="1" applyAlignment="1">
      <alignment horizontal="center"/>
    </xf>
    <xf numFmtId="9" fontId="0" fillId="0" borderId="1" xfId="0" applyNumberFormat="1" applyBorder="1" applyAlignment="1">
      <alignment horizontal="center" wrapText="1"/>
    </xf>
    <xf numFmtId="0" fontId="0" fillId="0" borderId="1" xfId="0" applyBorder="1" applyAlignment="1">
      <alignment horizontal="center" wrapText="1"/>
    </xf>
    <xf numFmtId="0" fontId="6" fillId="0" borderId="1" xfId="0" applyFont="1" applyBorder="1" applyAlignment="1">
      <alignment horizontal="center" wrapText="1"/>
    </xf>
    <xf numFmtId="0" fontId="3" fillId="0" borderId="1" xfId="0" applyFont="1" applyBorder="1" applyAlignment="1">
      <alignment horizontal="center" wrapText="1"/>
    </xf>
    <xf numFmtId="0" fontId="86" fillId="0" borderId="0" xfId="0" applyFont="1"/>
    <xf numFmtId="0" fontId="59"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vertical="center" wrapText="1"/>
    </xf>
    <xf numFmtId="0" fontId="36" fillId="0" borderId="1" xfId="0" applyFont="1" applyBorder="1" applyAlignment="1">
      <alignment horizontal="center" vertical="center" wrapText="1"/>
    </xf>
    <xf numFmtId="0" fontId="13" fillId="0" borderId="0" xfId="0" applyFont="1" applyAlignment="1">
      <alignment vertical="center" wrapText="1"/>
    </xf>
    <xf numFmtId="0" fontId="36" fillId="0" borderId="1" xfId="0" applyFont="1" applyBorder="1" applyAlignment="1">
      <alignment vertical="center" wrapText="1"/>
    </xf>
    <xf numFmtId="0" fontId="20" fillId="0" borderId="1" xfId="0" applyFont="1" applyBorder="1" applyAlignment="1">
      <alignment vertical="center" wrapText="1"/>
    </xf>
    <xf numFmtId="0" fontId="88" fillId="0" borderId="0" xfId="0" applyFont="1"/>
    <xf numFmtId="0" fontId="13" fillId="0" borderId="0" xfId="0" applyFont="1"/>
    <xf numFmtId="0" fontId="89" fillId="0" borderId="1" xfId="0" applyFont="1" applyBorder="1" applyAlignment="1">
      <alignment vertical="center" wrapText="1"/>
    </xf>
    <xf numFmtId="0" fontId="41" fillId="0" borderId="0" xfId="0" applyFont="1" applyAlignment="1">
      <alignment horizontal="center" vertical="center"/>
    </xf>
    <xf numFmtId="164" fontId="36" fillId="0" borderId="1" xfId="1" applyNumberFormat="1" applyFont="1" applyBorder="1" applyAlignment="1">
      <alignment vertical="center" wrapText="1"/>
    </xf>
    <xf numFmtId="0" fontId="89" fillId="0" borderId="1" xfId="0" applyFont="1" applyBorder="1" applyAlignment="1">
      <alignment vertical="center"/>
    </xf>
    <xf numFmtId="0" fontId="0" fillId="0" borderId="0" xfId="0" applyAlignment="1">
      <alignment horizontal="left" vertical="top"/>
    </xf>
    <xf numFmtId="0" fontId="90" fillId="0" borderId="0" xfId="0" applyFont="1" applyAlignment="1">
      <alignment horizontal="center" vertical="center" wrapText="1"/>
    </xf>
    <xf numFmtId="0" fontId="0" fillId="0" borderId="2" xfId="0" applyBorder="1" applyAlignment="1">
      <alignment vertical="center"/>
    </xf>
    <xf numFmtId="0" fontId="5" fillId="0" borderId="1" xfId="0" applyFont="1" applyBorder="1" applyAlignment="1">
      <alignment horizontal="center" vertical="top"/>
    </xf>
    <xf numFmtId="0" fontId="5" fillId="0" borderId="9" xfId="0" applyFont="1" applyBorder="1" applyAlignment="1">
      <alignment horizontal="center" vertical="center"/>
    </xf>
    <xf numFmtId="0" fontId="91" fillId="0" borderId="0" xfId="0" applyFont="1"/>
    <xf numFmtId="0" fontId="55" fillId="0" borderId="0" xfId="0" applyFont="1" applyAlignment="1">
      <alignment horizontal="center" vertical="center" wrapText="1"/>
    </xf>
    <xf numFmtId="0" fontId="36" fillId="0" borderId="0" xfId="0" applyFont="1" applyAlignment="1">
      <alignment vertical="center" wrapText="1"/>
    </xf>
    <xf numFmtId="0" fontId="87" fillId="0" borderId="0" xfId="0" applyFont="1" applyAlignment="1">
      <alignment vertical="center" wrapText="1"/>
    </xf>
    <xf numFmtId="0" fontId="89" fillId="0" borderId="1" xfId="0" applyFont="1" applyBorder="1" applyAlignment="1">
      <alignment horizontal="center" vertical="center" wrapText="1"/>
    </xf>
    <xf numFmtId="0" fontId="92" fillId="0" borderId="0" xfId="0" applyFont="1"/>
    <xf numFmtId="0" fontId="36" fillId="0" borderId="0" xfId="0" applyFont="1" applyAlignment="1">
      <alignment horizontal="center" vertical="center" wrapText="1"/>
    </xf>
    <xf numFmtId="0" fontId="36" fillId="0" borderId="0" xfId="0" applyFont="1" applyAlignment="1">
      <alignment horizontal="center" vertical="center"/>
    </xf>
    <xf numFmtId="164" fontId="36" fillId="6" borderId="1" xfId="1" applyNumberFormat="1" applyFont="1" applyFill="1" applyBorder="1" applyAlignment="1">
      <alignment vertical="center"/>
    </xf>
    <xf numFmtId="164" fontId="36" fillId="0" borderId="1" xfId="1" applyNumberFormat="1" applyFont="1" applyBorder="1" applyAlignment="1">
      <alignment vertical="center"/>
    </xf>
    <xf numFmtId="164" fontId="36" fillId="18" borderId="1" xfId="1" applyNumberFormat="1" applyFont="1" applyFill="1" applyBorder="1" applyAlignment="1">
      <alignment vertical="center"/>
    </xf>
    <xf numFmtId="0" fontId="5" fillId="0" borderId="9" xfId="0" applyFont="1" applyBorder="1" applyAlignment="1">
      <alignment horizont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5" fillId="0" borderId="10" xfId="0" applyFont="1" applyBorder="1" applyAlignment="1">
      <alignment horizontal="left" wrapText="1"/>
    </xf>
    <xf numFmtId="0" fontId="5" fillId="0" borderId="1" xfId="0" applyFont="1" applyBorder="1"/>
    <xf numFmtId="0" fontId="5" fillId="0" borderId="1" xfId="0" applyFont="1" applyBorder="1" applyAlignment="1">
      <alignment horizontal="left" wrapText="1"/>
    </xf>
    <xf numFmtId="0" fontId="5" fillId="0" borderId="7" xfId="0" applyFont="1" applyBorder="1" applyAlignment="1">
      <alignment horizontal="left" wrapText="1"/>
    </xf>
    <xf numFmtId="0" fontId="5" fillId="0" borderId="7" xfId="0" applyFont="1" applyBorder="1"/>
    <xf numFmtId="0" fontId="12" fillId="0" borderId="0" xfId="0" applyFont="1" applyAlignment="1">
      <alignment horizontal="left"/>
    </xf>
    <xf numFmtId="0" fontId="29" fillId="0" borderId="0" xfId="0" applyFont="1" applyAlignment="1">
      <alignment horizontal="left"/>
    </xf>
    <xf numFmtId="0" fontId="6" fillId="0" borderId="1" xfId="0" applyFont="1" applyBorder="1" applyAlignment="1">
      <alignment horizontal="center"/>
    </xf>
    <xf numFmtId="0" fontId="3" fillId="0" borderId="0" xfId="0" applyFont="1" applyAlignment="1">
      <alignment horizontal="left"/>
    </xf>
    <xf numFmtId="0" fontId="93" fillId="0" borderId="1" xfId="0" applyFont="1" applyBorder="1" applyAlignment="1">
      <alignment vertical="center" wrapText="1"/>
    </xf>
    <xf numFmtId="164" fontId="0" fillId="0" borderId="0" xfId="0" applyNumberFormat="1"/>
    <xf numFmtId="0" fontId="13" fillId="7" borderId="1" xfId="0" applyFont="1" applyFill="1" applyBorder="1" applyAlignment="1">
      <alignment horizontal="center" vertical="center" wrapText="1"/>
    </xf>
    <xf numFmtId="0" fontId="20" fillId="7" borderId="1" xfId="0" applyFont="1" applyFill="1" applyBorder="1" applyAlignment="1">
      <alignment horizontal="center" vertical="center" wrapText="1"/>
    </xf>
    <xf numFmtId="0" fontId="20" fillId="7" borderId="1" xfId="0" applyFont="1" applyFill="1" applyBorder="1" applyAlignment="1">
      <alignment vertical="center" wrapText="1"/>
    </xf>
    <xf numFmtId="164" fontId="13" fillId="7" borderId="1" xfId="1" applyNumberFormat="1" applyFont="1" applyFill="1" applyBorder="1" applyAlignment="1">
      <alignment vertical="center" wrapText="1"/>
    </xf>
    <xf numFmtId="0" fontId="13" fillId="7" borderId="1" xfId="0" applyFont="1" applyFill="1" applyBorder="1" applyAlignment="1">
      <alignment vertical="center" wrapText="1"/>
    </xf>
    <xf numFmtId="164" fontId="13" fillId="19" borderId="1" xfId="1" applyNumberFormat="1" applyFont="1" applyFill="1" applyBorder="1" applyAlignment="1">
      <alignment vertical="center" wrapText="1"/>
    </xf>
    <xf numFmtId="0" fontId="13" fillId="7" borderId="1" xfId="0" applyFont="1" applyFill="1" applyBorder="1" applyAlignment="1">
      <alignment horizontal="justify" vertical="center" wrapText="1"/>
    </xf>
    <xf numFmtId="0" fontId="36" fillId="0" borderId="1" xfId="0" applyFont="1" applyBorder="1" applyAlignment="1">
      <alignment horizontal="justify" vertical="center" wrapText="1"/>
    </xf>
    <xf numFmtId="0" fontId="86" fillId="0" borderId="0" xfId="0" applyFont="1" applyAlignment="1">
      <alignment vertical="center" wrapText="1"/>
    </xf>
    <xf numFmtId="0" fontId="95" fillId="0" borderId="1" xfId="0" applyFont="1" applyBorder="1" applyAlignment="1">
      <alignment horizontal="right" vertical="center" wrapText="1"/>
    </xf>
    <xf numFmtId="0" fontId="95" fillId="0" borderId="1" xfId="0" applyFont="1" applyBorder="1" applyAlignment="1">
      <alignment vertical="center" wrapText="1"/>
    </xf>
    <xf numFmtId="0" fontId="13" fillId="5" borderId="1" xfId="0" applyFont="1" applyFill="1" applyBorder="1" applyAlignment="1">
      <alignment vertical="center" wrapText="1"/>
    </xf>
    <xf numFmtId="0" fontId="3" fillId="0" borderId="0" xfId="0" applyFont="1" applyAlignment="1">
      <alignment horizontal="center" vertical="center" wrapText="1"/>
    </xf>
    <xf numFmtId="0" fontId="5" fillId="0" borderId="1" xfId="7" applyFont="1" applyBorder="1" applyAlignment="1">
      <alignment horizontal="left" vertical="center" wrapText="1"/>
    </xf>
    <xf numFmtId="164" fontId="5" fillId="0" borderId="1" xfId="1" applyNumberFormat="1" applyFont="1" applyFill="1" applyBorder="1" applyAlignment="1">
      <alignment horizontal="center" vertical="center" wrapText="1"/>
    </xf>
    <xf numFmtId="0" fontId="5" fillId="0" borderId="1" xfId="7" applyFont="1" applyBorder="1" applyAlignment="1">
      <alignment vertical="center" wrapText="1"/>
    </xf>
    <xf numFmtId="164" fontId="5" fillId="4" borderId="1" xfId="1" applyNumberFormat="1" applyFont="1" applyFill="1" applyBorder="1" applyAlignment="1">
      <alignment horizontal="center" vertical="center" wrapText="1"/>
    </xf>
    <xf numFmtId="164" fontId="5" fillId="4" borderId="1" xfId="1" applyNumberFormat="1" applyFont="1" applyFill="1" applyBorder="1" applyAlignment="1">
      <alignment wrapText="1"/>
    </xf>
    <xf numFmtId="0" fontId="5" fillId="0" borderId="1" xfId="7" quotePrefix="1" applyFont="1" applyBorder="1" applyAlignment="1">
      <alignment horizontal="center" vertical="center" wrapText="1"/>
    </xf>
    <xf numFmtId="0" fontId="98" fillId="0" borderId="0" xfId="0" applyFont="1"/>
    <xf numFmtId="164" fontId="5" fillId="0" borderId="1" xfId="1" applyNumberFormat="1" applyFont="1" applyBorder="1"/>
    <xf numFmtId="0" fontId="5" fillId="0" borderId="1" xfId="0" applyFont="1" applyBorder="1" applyAlignment="1">
      <alignment horizontal="left" wrapText="1" indent="2"/>
    </xf>
    <xf numFmtId="164" fontId="5" fillId="0" borderId="6" xfId="1" applyNumberFormat="1" applyFont="1" applyBorder="1"/>
    <xf numFmtId="0" fontId="99" fillId="0" borderId="0" xfId="0" applyFont="1"/>
    <xf numFmtId="0" fontId="5" fillId="0" borderId="0" xfId="0" applyFont="1" applyAlignment="1">
      <alignment horizontal="left" wrapText="1"/>
    </xf>
    <xf numFmtId="0" fontId="99" fillId="0" borderId="0" xfId="0" applyFont="1" applyAlignment="1">
      <alignment horizontal="left" wrapText="1"/>
    </xf>
    <xf numFmtId="0" fontId="5" fillId="0" borderId="0" xfId="0" applyFont="1" applyAlignment="1">
      <alignment horizontal="center" wrapText="1"/>
    </xf>
    <xf numFmtId="0" fontId="5" fillId="0" borderId="0" xfId="0" applyFont="1" applyAlignment="1">
      <alignment wrapText="1"/>
    </xf>
    <xf numFmtId="0" fontId="100" fillId="0" borderId="1" xfId="8" applyFont="1" applyBorder="1" applyAlignment="1">
      <alignment wrapText="1"/>
    </xf>
    <xf numFmtId="164" fontId="0" fillId="0" borderId="1" xfId="1" applyNumberFormat="1" applyFont="1" applyBorder="1"/>
    <xf numFmtId="0" fontId="5" fillId="0" borderId="0" xfId="0" applyFont="1" applyAlignment="1">
      <alignment horizontal="left" vertical="center" wrapText="1"/>
    </xf>
    <xf numFmtId="0" fontId="5" fillId="0" borderId="0" xfId="0" applyFont="1" applyAlignment="1">
      <alignment horizontal="left" vertical="center"/>
    </xf>
    <xf numFmtId="0" fontId="36" fillId="0" borderId="0" xfId="6">
      <alignment vertical="center"/>
    </xf>
    <xf numFmtId="0" fontId="102" fillId="0" borderId="0" xfId="11" applyFill="1" applyBorder="1" applyAlignment="1">
      <alignment vertical="center"/>
    </xf>
    <xf numFmtId="0" fontId="92" fillId="0" borderId="0" xfId="10" applyFill="1" applyBorder="1" applyAlignment="1">
      <alignment vertical="center"/>
    </xf>
    <xf numFmtId="0" fontId="92" fillId="0" borderId="0" xfId="10" applyFill="1" applyBorder="1" applyAlignment="1">
      <alignment horizontal="left" vertical="center"/>
    </xf>
    <xf numFmtId="0" fontId="5" fillId="0" borderId="0" xfId="6" applyFont="1">
      <alignment vertical="center"/>
    </xf>
    <xf numFmtId="0" fontId="5" fillId="0" borderId="1" xfId="3" quotePrefix="1" applyFont="1" applyBorder="1" applyAlignment="1">
      <alignment horizontal="center" vertical="center"/>
    </xf>
    <xf numFmtId="0" fontId="6" fillId="0" borderId="1" xfId="3" quotePrefix="1" applyFont="1" applyBorder="1" applyAlignment="1">
      <alignment horizontal="center" vertical="center"/>
    </xf>
    <xf numFmtId="164" fontId="5" fillId="0" borderId="1" xfId="1" applyNumberFormat="1" applyFont="1" applyFill="1" applyBorder="1" applyAlignment="1" applyProtection="1">
      <alignment horizontal="center" vertical="center"/>
      <protection locked="0"/>
    </xf>
    <xf numFmtId="164" fontId="5" fillId="19" borderId="1" xfId="1" applyNumberFormat="1" applyFont="1" applyFill="1" applyBorder="1" applyAlignment="1" applyProtection="1">
      <alignment horizontal="center" vertical="center"/>
      <protection locked="0"/>
    </xf>
    <xf numFmtId="0" fontId="103" fillId="0" borderId="0" xfId="3" quotePrefix="1" applyFont="1" applyAlignment="1">
      <alignment horizontal="right" vertical="center"/>
    </xf>
    <xf numFmtId="3" fontId="105" fillId="0" borderId="0" xfId="4" applyFont="1" applyFill="1" applyBorder="1" applyAlignment="1">
      <alignment horizontal="center" vertical="center"/>
      <protection locked="0"/>
    </xf>
    <xf numFmtId="0" fontId="12" fillId="0" borderId="0" xfId="10" applyFont="1" applyFill="1" applyBorder="1" applyAlignment="1">
      <alignment horizontal="left" vertical="center" indent="1"/>
    </xf>
    <xf numFmtId="0" fontId="5" fillId="0" borderId="0" xfId="6" applyFont="1" applyAlignment="1">
      <alignment horizontal="left" vertical="center" wrapText="1" indent="1"/>
    </xf>
    <xf numFmtId="0" fontId="6" fillId="0" borderId="8" xfId="3" applyFont="1" applyBorder="1" applyAlignment="1">
      <alignment horizontal="left" vertical="center" wrapText="1" indent="1"/>
    </xf>
    <xf numFmtId="0" fontId="5" fillId="0" borderId="6" xfId="3" applyFont="1" applyBorder="1" applyAlignment="1">
      <alignment horizontal="left" vertical="center" wrapText="1" indent="2"/>
    </xf>
    <xf numFmtId="0" fontId="5" fillId="0" borderId="14" xfId="3" applyFont="1" applyBorder="1" applyAlignment="1">
      <alignment horizontal="left" vertical="center" wrapText="1" indent="3"/>
    </xf>
    <xf numFmtId="0" fontId="104" fillId="0" borderId="14" xfId="3" applyFont="1" applyBorder="1" applyAlignment="1">
      <alignment horizontal="left" vertical="center" wrapText="1" indent="3"/>
    </xf>
    <xf numFmtId="0" fontId="6" fillId="0" borderId="1" xfId="3" applyFont="1" applyBorder="1" applyAlignment="1">
      <alignment horizontal="left" vertical="center" wrapText="1" indent="1"/>
    </xf>
    <xf numFmtId="0" fontId="36" fillId="0" borderId="0" xfId="6" applyAlignment="1">
      <alignment vertical="top" wrapText="1"/>
    </xf>
    <xf numFmtId="0" fontId="106" fillId="0" borderId="0" xfId="3" applyFont="1">
      <alignment vertical="center"/>
    </xf>
    <xf numFmtId="0" fontId="107" fillId="0" borderId="0" xfId="10" applyFont="1" applyFill="1" applyBorder="1" applyAlignment="1">
      <alignment vertical="center" wrapText="1"/>
    </xf>
    <xf numFmtId="0" fontId="89" fillId="0" borderId="0" xfId="12" applyFont="1" applyFill="1" applyBorder="1" applyAlignment="1">
      <alignment horizontal="center" vertical="center" wrapText="1"/>
    </xf>
    <xf numFmtId="0" fontId="103" fillId="0" borderId="0" xfId="3" quotePrefix="1" applyFont="1" applyAlignment="1">
      <alignment horizontal="center" vertical="center"/>
    </xf>
    <xf numFmtId="164" fontId="30" fillId="0" borderId="1" xfId="1" applyNumberFormat="1" applyFont="1" applyFill="1" applyBorder="1" applyAlignment="1" applyProtection="1">
      <alignment horizontal="center" vertical="center"/>
      <protection locked="0"/>
    </xf>
    <xf numFmtId="0" fontId="103" fillId="0" borderId="14" xfId="3" quotePrefix="1" applyFont="1" applyBorder="1" applyAlignment="1">
      <alignment horizontal="center" vertical="center"/>
    </xf>
    <xf numFmtId="0" fontId="36" fillId="0" borderId="0" xfId="6" applyAlignment="1">
      <alignment vertical="center" wrapText="1"/>
    </xf>
    <xf numFmtId="0" fontId="108" fillId="0" borderId="0" xfId="6" applyFont="1" applyAlignment="1">
      <alignment vertical="top"/>
    </xf>
    <xf numFmtId="0" fontId="94" fillId="0" borderId="0" xfId="0" applyFont="1" applyAlignment="1">
      <alignment vertical="top"/>
    </xf>
    <xf numFmtId="0" fontId="109" fillId="0" borderId="0" xfId="0" applyFont="1" applyAlignment="1">
      <alignment horizontal="left" vertical="center" indent="5"/>
    </xf>
    <xf numFmtId="0" fontId="19" fillId="0" borderId="1" xfId="0" applyFont="1" applyBorder="1" applyAlignment="1">
      <alignment horizontal="left" vertical="center" wrapText="1"/>
    </xf>
    <xf numFmtId="0" fontId="111" fillId="0" borderId="0" xfId="13" applyFont="1"/>
    <xf numFmtId="164" fontId="46" fillId="0" borderId="19" xfId="1" applyNumberFormat="1" applyFont="1" applyBorder="1" applyAlignment="1">
      <alignment vertical="center" wrapText="1"/>
    </xf>
    <xf numFmtId="164" fontId="46" fillId="0" borderId="27" xfId="1" applyNumberFormat="1" applyFont="1" applyBorder="1" applyAlignment="1">
      <alignment vertical="center" wrapText="1"/>
    </xf>
    <xf numFmtId="166" fontId="46" fillId="0" borderId="27" xfId="1" applyNumberFormat="1" applyFont="1" applyBorder="1" applyAlignment="1">
      <alignment horizontal="center" vertical="center" wrapText="1"/>
    </xf>
    <xf numFmtId="166" fontId="1" fillId="6" borderId="27" xfId="1" applyNumberFormat="1" applyFont="1" applyFill="1" applyBorder="1" applyAlignment="1">
      <alignment vertical="center" wrapText="1"/>
    </xf>
    <xf numFmtId="166" fontId="1" fillId="0" borderId="27" xfId="1" applyNumberFormat="1" applyFont="1" applyBorder="1" applyAlignment="1">
      <alignment vertical="center"/>
    </xf>
    <xf numFmtId="166" fontId="31" fillId="6" borderId="27" xfId="1" applyNumberFormat="1" applyFont="1" applyFill="1" applyBorder="1" applyAlignment="1">
      <alignment vertical="center" wrapText="1"/>
    </xf>
    <xf numFmtId="166" fontId="1" fillId="0" borderId="27" xfId="1" applyNumberFormat="1" applyFont="1" applyBorder="1" applyAlignment="1">
      <alignment horizontal="center" vertical="center"/>
    </xf>
    <xf numFmtId="166" fontId="1" fillId="0" borderId="27" xfId="1" applyNumberFormat="1" applyFont="1" applyBorder="1" applyAlignment="1">
      <alignment vertical="center" wrapText="1"/>
    </xf>
    <xf numFmtId="166" fontId="41" fillId="18" borderId="27" xfId="1" applyNumberFormat="1" applyFont="1" applyFill="1" applyBorder="1" applyAlignment="1">
      <alignment vertical="center" wrapText="1"/>
    </xf>
    <xf numFmtId="164" fontId="1" fillId="0" borderId="27" xfId="1" applyNumberFormat="1" applyFont="1" applyBorder="1" applyAlignment="1">
      <alignment vertical="center"/>
    </xf>
    <xf numFmtId="164" fontId="48" fillId="0" borderId="19" xfId="1" applyNumberFormat="1" applyFont="1" applyBorder="1" applyAlignment="1">
      <alignment horizontal="center" vertical="center" wrapText="1"/>
    </xf>
    <xf numFmtId="164" fontId="48" fillId="0" borderId="27" xfId="1" applyNumberFormat="1" applyFont="1" applyBorder="1" applyAlignment="1">
      <alignment horizontal="center" vertical="center" wrapText="1"/>
    </xf>
    <xf numFmtId="164" fontId="48" fillId="17" borderId="19" xfId="1" applyNumberFormat="1" applyFont="1" applyFill="1" applyBorder="1" applyAlignment="1">
      <alignment horizontal="center" vertical="center" wrapText="1"/>
    </xf>
    <xf numFmtId="164" fontId="46" fillId="17" borderId="27" xfId="1" applyNumberFormat="1" applyFont="1" applyFill="1" applyBorder="1" applyAlignment="1">
      <alignment vertical="center" wrapText="1"/>
    </xf>
    <xf numFmtId="164" fontId="48" fillId="17" borderId="27" xfId="1" applyNumberFormat="1" applyFont="1" applyFill="1" applyBorder="1" applyAlignment="1">
      <alignment horizontal="center" vertical="center" wrapText="1"/>
    </xf>
    <xf numFmtId="164" fontId="46" fillId="10" borderId="27" xfId="1" applyNumberFormat="1" applyFont="1" applyFill="1" applyBorder="1" applyAlignment="1">
      <alignment vertical="center" wrapText="1"/>
    </xf>
    <xf numFmtId="164" fontId="56" fillId="10" borderId="27" xfId="1" applyNumberFormat="1" applyFont="1" applyFill="1" applyBorder="1" applyAlignment="1">
      <alignment vertical="center"/>
    </xf>
    <xf numFmtId="164" fontId="16" fillId="0" borderId="27" xfId="1" applyNumberFormat="1" applyFont="1" applyBorder="1" applyAlignment="1">
      <alignment vertical="center" wrapText="1"/>
    </xf>
    <xf numFmtId="164" fontId="16" fillId="18" borderId="19" xfId="1" applyNumberFormat="1" applyFont="1" applyFill="1" applyBorder="1" applyAlignment="1">
      <alignment vertical="center" wrapText="1"/>
    </xf>
    <xf numFmtId="164" fontId="16" fillId="18" borderId="27" xfId="1" applyNumberFormat="1" applyFont="1" applyFill="1" applyBorder="1" applyAlignment="1">
      <alignment vertical="center" wrapText="1"/>
    </xf>
    <xf numFmtId="0" fontId="43" fillId="0" borderId="0" xfId="0" applyFont="1" applyAlignment="1">
      <alignment vertical="center" wrapText="1"/>
    </xf>
    <xf numFmtId="0" fontId="5" fillId="21" borderId="0" xfId="0" applyFont="1" applyFill="1"/>
    <xf numFmtId="0" fontId="101" fillId="21" borderId="0" xfId="8" applyFont="1" applyFill="1" applyAlignment="1">
      <alignment horizontal="left" vertical="center"/>
    </xf>
    <xf numFmtId="0" fontId="114" fillId="21" borderId="0" xfId="0" applyFont="1" applyFill="1"/>
    <xf numFmtId="0" fontId="114" fillId="21" borderId="0" xfId="0" applyFont="1" applyFill="1" applyAlignment="1">
      <alignment vertical="center"/>
    </xf>
    <xf numFmtId="0" fontId="114" fillId="21" borderId="10" xfId="0" applyFont="1" applyFill="1" applyBorder="1" applyAlignment="1">
      <alignment horizontal="center" vertical="center" wrapText="1"/>
    </xf>
    <xf numFmtId="0" fontId="13" fillId="6" borderId="9" xfId="0" applyFont="1" applyFill="1" applyBorder="1" applyAlignment="1">
      <alignment vertical="center" wrapText="1"/>
    </xf>
    <xf numFmtId="0" fontId="114" fillId="21" borderId="54" xfId="0" applyFont="1" applyFill="1" applyBorder="1" applyAlignment="1">
      <alignment horizontal="center" vertical="center" wrapText="1"/>
    </xf>
    <xf numFmtId="0" fontId="0" fillId="6" borderId="2" xfId="0" applyFill="1" applyBorder="1" applyAlignment="1">
      <alignment vertical="center" wrapText="1"/>
    </xf>
    <xf numFmtId="0" fontId="79" fillId="7" borderId="1" xfId="0" applyFont="1" applyFill="1" applyBorder="1" applyAlignment="1">
      <alignment vertical="center" wrapText="1"/>
    </xf>
    <xf numFmtId="0" fontId="42" fillId="7" borderId="1" xfId="0" applyFont="1" applyFill="1" applyBorder="1" applyAlignment="1">
      <alignment vertical="center" wrapText="1"/>
    </xf>
    <xf numFmtId="0" fontId="80" fillId="7" borderId="1" xfId="0" applyFont="1" applyFill="1" applyBorder="1" applyAlignment="1">
      <alignment vertical="center" wrapText="1"/>
    </xf>
    <xf numFmtId="0" fontId="81" fillId="7" borderId="1" xfId="0" applyFont="1" applyFill="1" applyBorder="1" applyAlignment="1">
      <alignment vertical="center" wrapText="1"/>
    </xf>
    <xf numFmtId="0" fontId="114" fillId="21" borderId="0" xfId="0" applyFont="1" applyFill="1" applyAlignment="1">
      <alignment horizontal="center" vertical="center" wrapText="1"/>
    </xf>
    <xf numFmtId="0" fontId="0" fillId="0" borderId="1" xfId="0" applyBorder="1" applyAlignment="1">
      <alignment horizontal="center" vertical="center"/>
    </xf>
    <xf numFmtId="0" fontId="111" fillId="0" borderId="0" xfId="13" applyFont="1" applyAlignment="1">
      <alignment horizontal="left" wrapText="1"/>
    </xf>
    <xf numFmtId="0" fontId="3" fillId="0" borderId="1" xfId="0" applyFont="1" applyBorder="1" applyAlignment="1">
      <alignment horizontal="center" vertical="center" wrapText="1"/>
    </xf>
    <xf numFmtId="0" fontId="5" fillId="0" borderId="1" xfId="0" applyFont="1" applyBorder="1" applyAlignment="1">
      <alignment horizontal="center" wrapText="1"/>
    </xf>
    <xf numFmtId="0" fontId="5" fillId="0" borderId="1" xfId="7" applyFont="1" applyBorder="1" applyAlignment="1">
      <alignment horizontal="center" vertical="center" wrapText="1"/>
    </xf>
    <xf numFmtId="0" fontId="5" fillId="0" borderId="1" xfId="0" applyFont="1" applyBorder="1" applyAlignment="1">
      <alignment horizontal="left" vertical="center" wrapText="1"/>
    </xf>
    <xf numFmtId="164" fontId="0" fillId="0" borderId="9" xfId="1" applyNumberFormat="1" applyFont="1" applyBorder="1" applyAlignment="1">
      <alignment vertical="center" wrapText="1"/>
    </xf>
    <xf numFmtId="0" fontId="115" fillId="22" borderId="59" xfId="0" applyFont="1" applyFill="1" applyBorder="1" applyAlignment="1">
      <alignment horizontal="center" vertical="center" wrapText="1"/>
    </xf>
    <xf numFmtId="164" fontId="0" fillId="0" borderId="9" xfId="1" applyNumberFormat="1" applyFont="1" applyBorder="1" applyAlignment="1">
      <alignment horizontal="center" vertical="center" wrapText="1"/>
    </xf>
    <xf numFmtId="0" fontId="114" fillId="21" borderId="0" xfId="0" applyFont="1" applyFill="1" applyAlignment="1">
      <alignment horizontal="center" vertical="center"/>
    </xf>
    <xf numFmtId="0" fontId="19" fillId="0" borderId="9" xfId="0" applyFont="1" applyBorder="1" applyAlignment="1">
      <alignment horizontal="left" vertical="center"/>
    </xf>
    <xf numFmtId="0" fontId="19" fillId="0" borderId="9" xfId="0" applyFont="1" applyBorder="1" applyAlignment="1">
      <alignment horizontal="center" vertical="center"/>
    </xf>
    <xf numFmtId="0" fontId="19" fillId="0" borderId="9" xfId="0" applyFont="1" applyBorder="1" applyAlignment="1">
      <alignment vertical="center"/>
    </xf>
    <xf numFmtId="0" fontId="114" fillId="21" borderId="59" xfId="0" applyFont="1" applyFill="1" applyBorder="1" applyAlignment="1">
      <alignment horizontal="center" vertical="center" wrapText="1"/>
    </xf>
    <xf numFmtId="0" fontId="114" fillId="21" borderId="59" xfId="0" applyFont="1" applyFill="1" applyBorder="1" applyAlignment="1">
      <alignment horizontal="center" vertical="center"/>
    </xf>
    <xf numFmtId="0" fontId="114" fillId="21" borderId="59" xfId="0" applyFont="1" applyFill="1" applyBorder="1" applyAlignment="1">
      <alignment vertical="center" wrapText="1"/>
    </xf>
    <xf numFmtId="0" fontId="114" fillId="21" borderId="59" xfId="0" applyFont="1" applyFill="1" applyBorder="1" applyAlignment="1">
      <alignment vertical="top" wrapText="1"/>
    </xf>
    <xf numFmtId="164" fontId="113" fillId="21" borderId="59" xfId="1" applyNumberFormat="1" applyFont="1" applyFill="1" applyBorder="1" applyAlignment="1">
      <alignment horizontal="center" vertical="center" wrapText="1"/>
    </xf>
    <xf numFmtId="0" fontId="113" fillId="21" borderId="59" xfId="0" applyFont="1" applyFill="1" applyBorder="1" applyAlignment="1">
      <alignment horizontal="center" vertical="center" wrapText="1"/>
    </xf>
    <xf numFmtId="164" fontId="5" fillId="0" borderId="1" xfId="1" applyNumberFormat="1" applyFont="1" applyFill="1" applyBorder="1" applyAlignment="1">
      <alignment vertical="center"/>
    </xf>
    <xf numFmtId="0" fontId="6" fillId="0" borderId="1" xfId="0" applyFont="1" applyBorder="1" applyAlignment="1">
      <alignment horizontal="justify" vertical="center"/>
    </xf>
    <xf numFmtId="164" fontId="6" fillId="0" borderId="1" xfId="1" applyNumberFormat="1" applyFont="1" applyFill="1" applyBorder="1" applyAlignment="1">
      <alignment vertical="center"/>
    </xf>
    <xf numFmtId="0" fontId="6" fillId="0" borderId="1" xfId="0" applyFont="1" applyBorder="1" applyAlignment="1">
      <alignment horizontal="justify" vertical="center" wrapText="1"/>
    </xf>
    <xf numFmtId="164" fontId="5" fillId="0" borderId="1" xfId="1" applyNumberFormat="1" applyFont="1" applyFill="1" applyBorder="1" applyAlignment="1">
      <alignment horizontal="justify" vertical="center"/>
    </xf>
    <xf numFmtId="0" fontId="0" fillId="0" borderId="1" xfId="0" applyFont="1" applyBorder="1" applyAlignment="1">
      <alignment vertical="center"/>
    </xf>
    <xf numFmtId="0" fontId="0" fillId="0" borderId="1" xfId="0" applyNumberFormat="1" applyFont="1" applyBorder="1" applyAlignment="1">
      <alignment vertical="center"/>
    </xf>
    <xf numFmtId="0" fontId="114" fillId="21" borderId="66" xfId="0" applyFont="1" applyFill="1" applyBorder="1" applyAlignment="1">
      <alignment horizontal="center" vertical="center" wrapText="1"/>
    </xf>
    <xf numFmtId="0" fontId="113" fillId="21" borderId="0" xfId="0" applyFont="1" applyFill="1" applyAlignment="1">
      <alignment vertical="center" wrapText="1"/>
    </xf>
    <xf numFmtId="0" fontId="113" fillId="21" borderId="66" xfId="0" applyFont="1" applyFill="1" applyBorder="1" applyAlignment="1">
      <alignment horizontal="center" vertical="center" wrapText="1"/>
    </xf>
    <xf numFmtId="0" fontId="10" fillId="0" borderId="9" xfId="0" applyFont="1" applyBorder="1" applyAlignment="1">
      <alignment vertical="center" wrapText="1"/>
    </xf>
    <xf numFmtId="164" fontId="5" fillId="0" borderId="9" xfId="1" quotePrefix="1" applyNumberFormat="1" applyFont="1" applyFill="1" applyBorder="1"/>
    <xf numFmtId="164" fontId="113" fillId="21" borderId="59" xfId="1" quotePrefix="1" applyNumberFormat="1" applyFont="1" applyFill="1" applyBorder="1" applyAlignment="1">
      <alignment horizontal="center" vertical="center"/>
    </xf>
    <xf numFmtId="164" fontId="113" fillId="21" borderId="59" xfId="1" applyNumberFormat="1" applyFont="1" applyFill="1" applyBorder="1" applyAlignment="1">
      <alignment horizontal="center" vertical="center"/>
    </xf>
    <xf numFmtId="0" fontId="114" fillId="21" borderId="59" xfId="0" applyFont="1" applyFill="1" applyBorder="1" applyAlignment="1">
      <alignment horizontal="center"/>
    </xf>
    <xf numFmtId="164" fontId="114" fillId="21" borderId="59" xfId="1" quotePrefix="1" applyNumberFormat="1" applyFont="1" applyFill="1" applyBorder="1" applyAlignment="1">
      <alignment horizontal="center" vertical="center"/>
    </xf>
    <xf numFmtId="165" fontId="114" fillId="21" borderId="59" xfId="1" applyNumberFormat="1" applyFont="1" applyFill="1" applyBorder="1" applyAlignment="1">
      <alignment horizontal="center" vertical="center"/>
    </xf>
    <xf numFmtId="164" fontId="0" fillId="0" borderId="9" xfId="1" applyNumberFormat="1" applyFont="1" applyBorder="1" applyAlignment="1">
      <alignment vertical="center"/>
    </xf>
    <xf numFmtId="164" fontId="0" fillId="0" borderId="9" xfId="1" applyNumberFormat="1" applyFont="1" applyBorder="1" applyAlignment="1">
      <alignment horizontal="center" vertical="center"/>
    </xf>
    <xf numFmtId="164" fontId="0" fillId="0" borderId="1" xfId="1" applyNumberFormat="1" applyFont="1" applyBorder="1" applyAlignment="1">
      <alignment vertical="center"/>
    </xf>
    <xf numFmtId="164" fontId="0" fillId="0" borderId="1" xfId="1" applyNumberFormat="1" applyFont="1" applyBorder="1" applyAlignment="1">
      <alignment horizontal="center" vertical="center"/>
    </xf>
    <xf numFmtId="164" fontId="0" fillId="4" borderId="1" xfId="1" applyNumberFormat="1" applyFont="1" applyFill="1" applyBorder="1" applyAlignment="1">
      <alignment vertical="center"/>
    </xf>
    <xf numFmtId="164" fontId="5" fillId="0" borderId="1" xfId="1" applyNumberFormat="1" applyFont="1" applyFill="1" applyBorder="1" applyAlignment="1">
      <alignment vertical="center" wrapText="1"/>
    </xf>
    <xf numFmtId="164" fontId="6" fillId="0" borderId="1" xfId="1" applyNumberFormat="1" applyFont="1" applyFill="1" applyBorder="1" applyAlignment="1">
      <alignment vertical="center" wrapText="1"/>
    </xf>
    <xf numFmtId="10" fontId="5" fillId="0" borderId="1" xfId="2" applyNumberFormat="1" applyFont="1" applyFill="1" applyBorder="1" applyAlignment="1">
      <alignment vertical="center" wrapText="1"/>
    </xf>
    <xf numFmtId="164" fontId="5" fillId="0" borderId="9" xfId="1" applyNumberFormat="1" applyFont="1" applyFill="1" applyBorder="1" applyAlignment="1">
      <alignment horizontal="center" vertical="center" wrapText="1"/>
    </xf>
    <xf numFmtId="164" fontId="10" fillId="0" borderId="1" xfId="1" applyNumberFormat="1" applyFont="1" applyBorder="1" applyAlignment="1">
      <alignment horizontal="center" vertical="center"/>
    </xf>
    <xf numFmtId="164" fontId="10" fillId="0" borderId="1" xfId="1" applyNumberFormat="1" applyFont="1" applyFill="1" applyBorder="1" applyAlignment="1">
      <alignment horizontal="center" vertical="center"/>
    </xf>
    <xf numFmtId="164" fontId="5" fillId="0" borderId="1" xfId="1" quotePrefix="1" applyNumberFormat="1" applyFont="1" applyFill="1" applyBorder="1" applyAlignment="1"/>
    <xf numFmtId="164" fontId="5" fillId="0" borderId="1" xfId="1" applyNumberFormat="1" applyFont="1" applyFill="1" applyBorder="1" applyAlignment="1">
      <alignment wrapText="1"/>
    </xf>
    <xf numFmtId="164" fontId="5" fillId="0" borderId="6" xfId="1" quotePrefix="1" applyNumberFormat="1" applyFont="1" applyFill="1" applyBorder="1" applyAlignment="1">
      <alignment wrapText="1"/>
    </xf>
    <xf numFmtId="164" fontId="6" fillId="4" borderId="1" xfId="1" applyNumberFormat="1" applyFont="1" applyFill="1" applyBorder="1" applyAlignment="1">
      <alignment horizontal="justify" vertical="top" wrapText="1"/>
    </xf>
    <xf numFmtId="43" fontId="5" fillId="0" borderId="1" xfId="1" quotePrefix="1" applyFont="1" applyFill="1" applyBorder="1" applyAlignment="1"/>
    <xf numFmtId="0" fontId="11" fillId="5" borderId="9" xfId="0" applyFont="1" applyFill="1" applyBorder="1" applyAlignment="1">
      <alignment vertical="center" wrapText="1"/>
    </xf>
    <xf numFmtId="164" fontId="0" fillId="0" borderId="9" xfId="1" quotePrefix="1" applyNumberFormat="1" applyFont="1" applyFill="1" applyBorder="1" applyAlignment="1">
      <alignment wrapText="1"/>
    </xf>
    <xf numFmtId="0" fontId="0" fillId="21" borderId="0" xfId="0" applyFill="1"/>
    <xf numFmtId="6" fontId="114" fillId="21" borderId="59" xfId="0" applyNumberFormat="1" applyFont="1" applyFill="1" applyBorder="1" applyAlignment="1">
      <alignment horizontal="center" vertical="center"/>
    </xf>
    <xf numFmtId="164" fontId="114" fillId="21" borderId="59" xfId="1" applyNumberFormat="1" applyFont="1" applyFill="1" applyBorder="1" applyAlignment="1">
      <alignment vertical="center" wrapText="1"/>
    </xf>
    <xf numFmtId="0" fontId="3" fillId="13" borderId="23" xfId="0" applyFont="1" applyFill="1" applyBorder="1" applyAlignment="1">
      <alignment vertical="center"/>
    </xf>
    <xf numFmtId="0" fontId="3" fillId="13" borderId="0" xfId="0" applyFont="1" applyFill="1" applyBorder="1" applyAlignment="1">
      <alignment vertical="center"/>
    </xf>
    <xf numFmtId="0" fontId="3" fillId="13" borderId="0" xfId="0" applyFont="1" applyFill="1" applyBorder="1" applyAlignment="1">
      <alignment horizontal="center" vertical="center"/>
    </xf>
    <xf numFmtId="0" fontId="3" fillId="13" borderId="71" xfId="0" applyFont="1" applyFill="1" applyBorder="1" applyAlignment="1">
      <alignment vertical="center"/>
    </xf>
    <xf numFmtId="0" fontId="0" fillId="15" borderId="1" xfId="0" applyFill="1" applyBorder="1" applyAlignment="1">
      <alignment horizontal="center" vertical="center" wrapText="1"/>
    </xf>
    <xf numFmtId="0" fontId="0" fillId="15" borderId="1" xfId="0" applyFill="1" applyBorder="1" applyAlignment="1">
      <alignment horizontal="center" vertical="center"/>
    </xf>
    <xf numFmtId="0" fontId="0" fillId="15" borderId="1" xfId="0" applyFill="1" applyBorder="1" applyAlignment="1">
      <alignment vertical="center" wrapText="1"/>
    </xf>
    <xf numFmtId="164" fontId="3" fillId="15" borderId="1" xfId="1" applyNumberFormat="1" applyFont="1" applyFill="1" applyBorder="1" applyAlignment="1">
      <alignment vertical="top" wrapText="1"/>
    </xf>
    <xf numFmtId="164" fontId="3" fillId="15" borderId="1" xfId="1" applyNumberFormat="1" applyFont="1" applyFill="1" applyBorder="1" applyAlignment="1">
      <alignment vertical="center" wrapText="1"/>
    </xf>
    <xf numFmtId="164" fontId="3" fillId="15" borderId="1" xfId="1" applyNumberFormat="1" applyFont="1" applyFill="1" applyBorder="1" applyAlignment="1">
      <alignment horizontal="center" vertical="center"/>
    </xf>
    <xf numFmtId="0" fontId="19" fillId="0" borderId="1" xfId="0" applyFont="1" applyBorder="1" applyAlignment="1">
      <alignment horizontal="left" vertical="center" wrapText="1" indent="2"/>
    </xf>
    <xf numFmtId="164" fontId="19" fillId="10" borderId="1" xfId="1" applyNumberFormat="1" applyFont="1" applyFill="1" applyBorder="1" applyAlignment="1">
      <alignment vertical="center" wrapText="1"/>
    </xf>
    <xf numFmtId="164" fontId="3" fillId="15" borderId="1" xfId="1" applyNumberFormat="1" applyFont="1" applyFill="1" applyBorder="1" applyAlignment="1">
      <alignment horizontal="center" vertical="center" wrapText="1"/>
    </xf>
    <xf numFmtId="164" fontId="0" fillId="7" borderId="1" xfId="1" applyNumberFormat="1" applyFont="1" applyFill="1" applyBorder="1" applyAlignment="1">
      <alignment vertical="center" wrapText="1"/>
    </xf>
    <xf numFmtId="164" fontId="0" fillId="10" borderId="1" xfId="1" applyNumberFormat="1" applyFont="1" applyFill="1" applyBorder="1" applyAlignment="1">
      <alignment vertical="center"/>
    </xf>
    <xf numFmtId="164" fontId="0" fillId="10" borderId="1" xfId="1" applyNumberFormat="1" applyFont="1" applyFill="1" applyBorder="1" applyAlignment="1">
      <alignment vertical="center" wrapText="1"/>
    </xf>
    <xf numFmtId="164" fontId="3" fillId="10" borderId="1" xfId="1" applyNumberFormat="1" applyFont="1" applyFill="1" applyBorder="1" applyAlignment="1">
      <alignment vertical="center" wrapText="1"/>
    </xf>
    <xf numFmtId="164" fontId="3" fillId="10" borderId="1" xfId="1" applyNumberFormat="1" applyFont="1" applyFill="1" applyBorder="1" applyAlignment="1">
      <alignment horizontal="center" vertical="center" wrapText="1"/>
    </xf>
    <xf numFmtId="164" fontId="0" fillId="10" borderId="1" xfId="1" applyNumberFormat="1" applyFont="1" applyFill="1" applyBorder="1" applyAlignment="1">
      <alignment horizontal="center" vertical="center" wrapText="1"/>
    </xf>
    <xf numFmtId="0" fontId="44" fillId="0" borderId="1" xfId="0" applyFont="1" applyBorder="1" applyAlignment="1">
      <alignment horizontal="left" vertical="center" wrapText="1" indent="2"/>
    </xf>
    <xf numFmtId="0" fontId="19" fillId="0" borderId="1" xfId="0" applyFont="1" applyBorder="1" applyAlignment="1">
      <alignment horizontal="left" vertical="center" wrapText="1" indent="4"/>
    </xf>
    <xf numFmtId="164" fontId="3" fillId="15" borderId="1" xfId="1" quotePrefix="1" applyNumberFormat="1" applyFont="1" applyFill="1" applyBorder="1" applyAlignment="1">
      <alignment vertical="center" wrapText="1"/>
    </xf>
    <xf numFmtId="164" fontId="3" fillId="15" borderId="1" xfId="1" quotePrefix="1" applyNumberFormat="1" applyFont="1" applyFill="1" applyBorder="1" applyAlignment="1">
      <alignment horizontal="center" vertical="center" wrapText="1"/>
    </xf>
    <xf numFmtId="164" fontId="0" fillId="16" borderId="1" xfId="1" applyNumberFormat="1" applyFont="1" applyFill="1" applyBorder="1" applyAlignment="1">
      <alignment vertical="center" wrapText="1"/>
    </xf>
    <xf numFmtId="164" fontId="5" fillId="7" borderId="1" xfId="1" applyNumberFormat="1" applyFont="1" applyFill="1" applyBorder="1" applyAlignment="1">
      <alignment vertical="center" wrapText="1"/>
    </xf>
    <xf numFmtId="164" fontId="3" fillId="7" borderId="1" xfId="1" applyNumberFormat="1" applyFont="1" applyFill="1" applyBorder="1" applyAlignment="1">
      <alignment vertical="center" wrapText="1"/>
    </xf>
    <xf numFmtId="164" fontId="3" fillId="7" borderId="1" xfId="1" applyNumberFormat="1" applyFont="1" applyFill="1" applyBorder="1" applyAlignment="1">
      <alignment horizontal="center" vertical="center" wrapText="1"/>
    </xf>
    <xf numFmtId="164" fontId="3" fillId="7" borderId="1" xfId="1" quotePrefix="1" applyNumberFormat="1" applyFont="1" applyFill="1" applyBorder="1" applyAlignment="1">
      <alignment horizontal="center" vertical="center" wrapText="1"/>
    </xf>
    <xf numFmtId="164" fontId="0" fillId="10" borderId="1" xfId="1" applyNumberFormat="1" applyFont="1" applyFill="1" applyBorder="1" applyAlignment="1">
      <alignment horizontal="center" vertical="center"/>
    </xf>
    <xf numFmtId="164" fontId="3" fillId="0" borderId="1" xfId="1" applyNumberFormat="1" applyFont="1" applyBorder="1" applyAlignment="1">
      <alignment horizontal="center" vertical="center"/>
    </xf>
    <xf numFmtId="43" fontId="0" fillId="0" borderId="1" xfId="1" applyFont="1" applyBorder="1" applyAlignment="1">
      <alignment vertical="center"/>
    </xf>
    <xf numFmtId="164" fontId="0" fillId="7" borderId="1" xfId="1" applyNumberFormat="1" applyFont="1" applyFill="1" applyBorder="1" applyAlignment="1">
      <alignment horizontal="center" vertical="center" wrapText="1"/>
    </xf>
    <xf numFmtId="0" fontId="43" fillId="21" borderId="0" xfId="0" applyFont="1" applyFill="1" applyAlignment="1">
      <alignment vertical="center" wrapText="1"/>
    </xf>
    <xf numFmtId="0" fontId="116" fillId="21" borderId="0" xfId="0" applyFont="1" applyFill="1" applyAlignment="1">
      <alignment vertical="center" wrapText="1"/>
    </xf>
    <xf numFmtId="0" fontId="116" fillId="21" borderId="0" xfId="0" applyFont="1" applyFill="1" applyBorder="1" applyAlignment="1">
      <alignment vertical="center" wrapText="1"/>
    </xf>
    <xf numFmtId="0" fontId="114" fillId="21" borderId="0" xfId="0" applyFont="1" applyFill="1" applyBorder="1" applyAlignment="1">
      <alignment vertical="center" wrapText="1"/>
    </xf>
    <xf numFmtId="49" fontId="0" fillId="0" borderId="1" xfId="0" applyNumberFormat="1" applyFont="1" applyBorder="1" applyAlignment="1">
      <alignment horizontal="center" vertical="center" wrapText="1"/>
    </xf>
    <xf numFmtId="0" fontId="0" fillId="0" borderId="1" xfId="0" applyFont="1" applyBorder="1" applyAlignment="1">
      <alignment vertical="center" wrapText="1"/>
    </xf>
    <xf numFmtId="49" fontId="19" fillId="5" borderId="1" xfId="0" applyNumberFormat="1" applyFont="1" applyFill="1" applyBorder="1" applyAlignment="1">
      <alignment horizontal="center" vertical="center" wrapText="1"/>
    </xf>
    <xf numFmtId="0" fontId="19" fillId="5" borderId="1" xfId="0" applyFont="1" applyFill="1" applyBorder="1" applyAlignment="1">
      <alignment horizontal="left" vertical="center" wrapText="1" indent="1"/>
    </xf>
    <xf numFmtId="49" fontId="83" fillId="0" borderId="1" xfId="0" applyNumberFormat="1" applyFont="1" applyBorder="1" applyAlignment="1">
      <alignment horizontal="center" vertical="center" wrapText="1"/>
    </xf>
    <xf numFmtId="0" fontId="83" fillId="0" borderId="1" xfId="0" applyFont="1" applyBorder="1" applyAlignment="1">
      <alignment vertical="center" wrapText="1"/>
    </xf>
    <xf numFmtId="0" fontId="119" fillId="21" borderId="78" xfId="0" applyFont="1" applyFill="1" applyBorder="1" applyAlignment="1">
      <alignment horizontal="center" vertical="center" wrapText="1"/>
    </xf>
    <xf numFmtId="0" fontId="119" fillId="21" borderId="0" xfId="0" applyFont="1" applyFill="1" applyBorder="1" applyAlignment="1">
      <alignment vertical="center" wrapText="1"/>
    </xf>
    <xf numFmtId="0" fontId="119" fillId="21" borderId="81" xfId="0" applyFont="1" applyFill="1" applyBorder="1" applyAlignment="1">
      <alignment horizontal="center" vertical="center" wrapText="1"/>
    </xf>
    <xf numFmtId="0" fontId="119" fillId="21" borderId="79" xfId="0" applyFont="1" applyFill="1" applyBorder="1" applyAlignment="1">
      <alignment horizontal="center" vertical="center" wrapText="1"/>
    </xf>
    <xf numFmtId="164" fontId="1" fillId="0" borderId="1" xfId="1" applyNumberFormat="1" applyFont="1" applyBorder="1" applyAlignment="1">
      <alignment vertical="center" wrapText="1"/>
    </xf>
    <xf numFmtId="0" fontId="49" fillId="21" borderId="0" xfId="0" applyFont="1" applyFill="1" applyAlignment="1">
      <alignment vertical="center"/>
    </xf>
    <xf numFmtId="164" fontId="5" fillId="0" borderId="9" xfId="1" applyNumberFormat="1" applyFont="1" applyBorder="1" applyAlignment="1">
      <alignment wrapText="1"/>
    </xf>
    <xf numFmtId="164" fontId="5" fillId="0" borderId="1" xfId="1" applyNumberFormat="1" applyFont="1" applyBorder="1" applyAlignment="1">
      <alignment wrapText="1"/>
    </xf>
    <xf numFmtId="164" fontId="1" fillId="0" borderId="1" xfId="1" applyNumberFormat="1" applyFont="1" applyBorder="1" applyAlignment="1">
      <alignment wrapText="1"/>
    </xf>
    <xf numFmtId="164" fontId="1" fillId="5" borderId="1" xfId="1" applyNumberFormat="1" applyFont="1" applyFill="1" applyBorder="1" applyAlignment="1">
      <alignment horizontal="left" wrapText="1"/>
    </xf>
    <xf numFmtId="164" fontId="3" fillId="17" borderId="1" xfId="1" applyNumberFormat="1" applyFont="1" applyFill="1" applyBorder="1" applyAlignment="1">
      <alignment wrapText="1"/>
    </xf>
    <xf numFmtId="164" fontId="3" fillId="0" borderId="1" xfId="1" applyNumberFormat="1" applyFont="1" applyBorder="1" applyAlignment="1">
      <alignment wrapText="1"/>
    </xf>
    <xf numFmtId="0" fontId="117" fillId="21" borderId="59" xfId="0" applyFont="1" applyFill="1" applyBorder="1" applyAlignment="1">
      <alignment horizontal="center" vertical="center" wrapText="1"/>
    </xf>
    <xf numFmtId="0" fontId="117" fillId="21" borderId="76" xfId="0" applyFont="1" applyFill="1" applyBorder="1" applyAlignment="1">
      <alignment horizontal="center" vertical="center" wrapText="1"/>
    </xf>
    <xf numFmtId="0" fontId="119" fillId="21" borderId="59" xfId="0" applyFont="1" applyFill="1" applyBorder="1" applyAlignment="1">
      <alignment horizontal="center" vertical="center" wrapText="1"/>
    </xf>
    <xf numFmtId="0" fontId="114" fillId="21" borderId="76" xfId="0" applyFont="1" applyFill="1" applyBorder="1" applyAlignment="1">
      <alignment horizontal="center" vertical="center" wrapText="1"/>
    </xf>
    <xf numFmtId="49" fontId="6" fillId="0" borderId="1" xfId="0" applyNumberFormat="1" applyFont="1" applyBorder="1" applyAlignment="1">
      <alignment horizontal="center" vertical="center" wrapText="1"/>
    </xf>
    <xf numFmtId="167" fontId="5" fillId="0" borderId="1" xfId="1" applyNumberFormat="1" applyFont="1" applyBorder="1" applyAlignment="1">
      <alignment horizontal="right" vertical="center" wrapText="1"/>
    </xf>
    <xf numFmtId="49" fontId="5" fillId="0" borderId="1" xfId="0" applyNumberFormat="1" applyFont="1" applyBorder="1" applyAlignment="1">
      <alignment horizontal="center" vertical="center" wrapText="1"/>
    </xf>
    <xf numFmtId="0" fontId="117" fillId="21" borderId="83" xfId="0" applyFont="1" applyFill="1" applyBorder="1" applyAlignment="1">
      <alignment horizontal="center" vertical="center" wrapText="1"/>
    </xf>
    <xf numFmtId="0" fontId="117" fillId="21" borderId="0" xfId="0" applyFont="1" applyFill="1" applyBorder="1" applyAlignment="1">
      <alignment horizontal="center" vertical="center" wrapText="1"/>
    </xf>
    <xf numFmtId="0" fontId="117" fillId="21" borderId="85" xfId="0" applyFont="1" applyFill="1" applyBorder="1" applyAlignment="1">
      <alignment horizontal="center" vertical="center" wrapText="1"/>
    </xf>
    <xf numFmtId="0" fontId="117" fillId="21" borderId="86" xfId="0" applyFont="1" applyFill="1" applyBorder="1" applyAlignment="1">
      <alignment horizontal="center" vertical="center" wrapText="1"/>
    </xf>
    <xf numFmtId="49" fontId="0" fillId="0" borderId="36" xfId="0" applyNumberFormat="1" applyFont="1" applyBorder="1" applyAlignment="1">
      <alignment horizontal="center" vertical="center"/>
    </xf>
    <xf numFmtId="0" fontId="0" fillId="0" borderId="87" xfId="0" applyFont="1" applyBorder="1" applyAlignment="1">
      <alignment vertical="center"/>
    </xf>
    <xf numFmtId="164" fontId="10" fillId="0" borderId="87" xfId="1" applyNumberFormat="1" applyFont="1" applyBorder="1" applyAlignment="1">
      <alignment vertical="center"/>
    </xf>
    <xf numFmtId="164" fontId="10" fillId="0" borderId="5" xfId="1" applyNumberFormat="1" applyFont="1" applyBorder="1" applyAlignment="1">
      <alignment vertical="center"/>
    </xf>
    <xf numFmtId="49" fontId="19" fillId="5" borderId="36" xfId="0" applyNumberFormat="1" applyFont="1" applyFill="1" applyBorder="1" applyAlignment="1">
      <alignment horizontal="center" vertical="center"/>
    </xf>
    <xf numFmtId="0" fontId="19" fillId="5" borderId="87" xfId="0" applyFont="1" applyFill="1" applyBorder="1" applyAlignment="1">
      <alignment horizontal="left" vertical="center"/>
    </xf>
    <xf numFmtId="49" fontId="83" fillId="0" borderId="36" xfId="0" applyNumberFormat="1" applyFont="1" applyBorder="1" applyAlignment="1">
      <alignment horizontal="center" vertical="center"/>
    </xf>
    <xf numFmtId="0" fontId="83" fillId="0" borderId="87" xfId="0" applyFont="1" applyBorder="1" applyAlignment="1">
      <alignment vertical="center"/>
    </xf>
    <xf numFmtId="49" fontId="0" fillId="0" borderId="1" xfId="0" applyNumberFormat="1" applyFont="1" applyBorder="1" applyAlignment="1">
      <alignment horizontal="center" wrapText="1"/>
    </xf>
    <xf numFmtId="0" fontId="0" fillId="0" borderId="1" xfId="0" applyFont="1" applyBorder="1" applyAlignment="1">
      <alignment wrapText="1"/>
    </xf>
    <xf numFmtId="164" fontId="10" fillId="0" borderId="1" xfId="1" applyNumberFormat="1" applyFont="1" applyBorder="1" applyAlignment="1">
      <alignment wrapText="1"/>
    </xf>
    <xf numFmtId="164" fontId="0" fillId="0" borderId="1" xfId="1" applyNumberFormat="1" applyFont="1" applyBorder="1" applyAlignment="1">
      <alignment wrapText="1"/>
    </xf>
    <xf numFmtId="49" fontId="19" fillId="5" borderId="1" xfId="0" applyNumberFormat="1" applyFont="1" applyFill="1" applyBorder="1" applyAlignment="1">
      <alignment horizontal="center" wrapText="1"/>
    </xf>
    <xf numFmtId="0" fontId="19" fillId="5" borderId="1" xfId="0" applyFont="1" applyFill="1" applyBorder="1" applyAlignment="1">
      <alignment horizontal="left" wrapText="1"/>
    </xf>
    <xf numFmtId="164" fontId="19" fillId="5" borderId="1" xfId="1" applyNumberFormat="1" applyFont="1" applyFill="1" applyBorder="1" applyAlignment="1">
      <alignment horizontal="left" wrapText="1"/>
    </xf>
    <xf numFmtId="164" fontId="10" fillId="17" borderId="1" xfId="1" applyNumberFormat="1" applyFont="1" applyFill="1" applyBorder="1" applyAlignment="1">
      <alignment wrapText="1"/>
    </xf>
    <xf numFmtId="164" fontId="19" fillId="0" borderId="1" xfId="1" applyNumberFormat="1" applyFont="1" applyBorder="1" applyAlignment="1">
      <alignment wrapText="1"/>
    </xf>
    <xf numFmtId="49" fontId="83" fillId="0" borderId="1" xfId="0" applyNumberFormat="1" applyFont="1" applyBorder="1" applyAlignment="1">
      <alignment horizontal="center" wrapText="1"/>
    </xf>
    <xf numFmtId="0" fontId="83" fillId="0" borderId="1" xfId="0" applyFont="1" applyBorder="1" applyAlignment="1">
      <alignment wrapText="1"/>
    </xf>
    <xf numFmtId="164" fontId="83" fillId="0" borderId="1" xfId="1" applyNumberFormat="1" applyFont="1" applyBorder="1" applyAlignment="1">
      <alignment wrapText="1"/>
    </xf>
    <xf numFmtId="0" fontId="117" fillId="21" borderId="91" xfId="0" applyFont="1" applyFill="1" applyBorder="1" applyAlignment="1">
      <alignment horizontal="center" vertical="center" wrapText="1"/>
    </xf>
    <xf numFmtId="0" fontId="43" fillId="21" borderId="63" xfId="0" applyFont="1" applyFill="1" applyBorder="1" applyAlignment="1">
      <alignment vertical="center" wrapText="1"/>
    </xf>
    <xf numFmtId="0" fontId="43" fillId="21" borderId="92" xfId="0" applyFont="1" applyFill="1" applyBorder="1" applyAlignment="1">
      <alignment vertical="center" wrapText="1"/>
    </xf>
    <xf numFmtId="0" fontId="119" fillId="21" borderId="65" xfId="0" applyFont="1" applyFill="1" applyBorder="1" applyAlignment="1">
      <alignment horizontal="center" vertical="center" wrapText="1"/>
    </xf>
    <xf numFmtId="0" fontId="72" fillId="21" borderId="0" xfId="0" applyFont="1" applyFill="1" applyAlignment="1">
      <alignment vertical="center" wrapText="1"/>
    </xf>
    <xf numFmtId="0" fontId="72" fillId="21" borderId="63" xfId="0" applyFont="1" applyFill="1" applyBorder="1" applyAlignment="1">
      <alignment vertical="center" wrapText="1"/>
    </xf>
    <xf numFmtId="0" fontId="119" fillId="21" borderId="0" xfId="0" applyFont="1" applyFill="1" applyBorder="1" applyAlignment="1">
      <alignment horizontal="center" vertical="center" wrapText="1"/>
    </xf>
    <xf numFmtId="0" fontId="119" fillId="21" borderId="72" xfId="0" applyFont="1" applyFill="1" applyBorder="1" applyAlignment="1">
      <alignment horizontal="center" vertical="center" wrapText="1"/>
    </xf>
    <xf numFmtId="0" fontId="119" fillId="21" borderId="63" xfId="0" applyFont="1" applyFill="1" applyBorder="1" applyAlignment="1">
      <alignment horizontal="center" vertical="center" wrapText="1"/>
    </xf>
    <xf numFmtId="0" fontId="119" fillId="21" borderId="70" xfId="0" applyFont="1" applyFill="1" applyBorder="1" applyAlignment="1">
      <alignment horizontal="center" vertical="center" wrapText="1"/>
    </xf>
    <xf numFmtId="49" fontId="0" fillId="0" borderId="35" xfId="0" applyNumberFormat="1" applyFont="1" applyBorder="1" applyAlignment="1">
      <alignment wrapText="1"/>
    </xf>
    <xf numFmtId="0" fontId="0" fillId="0" borderId="35" xfId="0" applyFont="1" applyBorder="1" applyAlignment="1">
      <alignment wrapText="1"/>
    </xf>
    <xf numFmtId="164" fontId="0" fillId="0" borderId="9" xfId="1" applyNumberFormat="1" applyFont="1" applyBorder="1" applyAlignment="1">
      <alignment wrapText="1"/>
    </xf>
    <xf numFmtId="49" fontId="0" fillId="5" borderId="1" xfId="0" applyNumberFormat="1" applyFont="1" applyFill="1" applyBorder="1" applyAlignment="1">
      <alignment wrapText="1"/>
    </xf>
    <xf numFmtId="49" fontId="0" fillId="0" borderId="1" xfId="0" applyNumberFormat="1" applyFont="1" applyBorder="1" applyAlignment="1">
      <alignment wrapText="1"/>
    </xf>
    <xf numFmtId="49" fontId="83" fillId="5" borderId="1" xfId="0" applyNumberFormat="1" applyFont="1" applyFill="1" applyBorder="1" applyAlignment="1">
      <alignment wrapText="1"/>
    </xf>
    <xf numFmtId="0" fontId="43" fillId="21" borderId="0" xfId="0" applyFont="1" applyFill="1"/>
    <xf numFmtId="0" fontId="43" fillId="21" borderId="0" xfId="0" applyFont="1" applyFill="1" applyBorder="1"/>
    <xf numFmtId="0" fontId="61" fillId="0" borderId="0" xfId="0" applyFont="1" applyBorder="1" applyAlignment="1">
      <alignment vertical="center"/>
    </xf>
    <xf numFmtId="0" fontId="117" fillId="21" borderId="59" xfId="0" applyFont="1" applyFill="1" applyBorder="1" applyAlignment="1">
      <alignment horizontal="center" vertical="center"/>
    </xf>
    <xf numFmtId="0" fontId="46" fillId="21" borderId="0" xfId="0" applyFont="1" applyFill="1" applyBorder="1" applyAlignment="1">
      <alignment vertical="center" wrapText="1"/>
    </xf>
    <xf numFmtId="0" fontId="46" fillId="21" borderId="28" xfId="0" applyFont="1" applyFill="1" applyBorder="1" applyAlignment="1">
      <alignment vertical="center" wrapText="1"/>
    </xf>
    <xf numFmtId="0" fontId="117" fillId="21" borderId="82" xfId="0" applyFont="1" applyFill="1" applyBorder="1" applyAlignment="1">
      <alignment horizontal="center" vertical="center" wrapText="1"/>
    </xf>
    <xf numFmtId="49" fontId="10" fillId="0" borderId="35" xfId="0" applyNumberFormat="1" applyFont="1" applyBorder="1" applyAlignment="1">
      <alignment horizontal="center" vertical="center" wrapText="1"/>
    </xf>
    <xf numFmtId="49" fontId="10" fillId="0" borderId="1" xfId="0" applyNumberFormat="1" applyFont="1" applyBorder="1" applyAlignment="1">
      <alignment horizontal="center" vertical="center" wrapText="1"/>
    </xf>
    <xf numFmtId="49" fontId="35" fillId="0" borderId="1" xfId="0" applyNumberFormat="1" applyFont="1" applyBorder="1" applyAlignment="1">
      <alignment horizontal="center" vertical="center" wrapText="1"/>
    </xf>
    <xf numFmtId="49" fontId="120" fillId="0" borderId="1" xfId="0" applyNumberFormat="1" applyFont="1" applyBorder="1" applyAlignment="1">
      <alignment horizontal="center" vertical="center" wrapText="1"/>
    </xf>
    <xf numFmtId="0" fontId="67" fillId="21" borderId="0" xfId="0" applyFont="1" applyFill="1" applyAlignment="1">
      <alignment vertical="center" wrapText="1"/>
    </xf>
    <xf numFmtId="0" fontId="121" fillId="21" borderId="76" xfId="0" applyFont="1" applyFill="1" applyBorder="1" applyAlignment="1">
      <alignment horizontal="center" vertical="center" wrapText="1"/>
    </xf>
    <xf numFmtId="0" fontId="121" fillId="21" borderId="14" xfId="0" applyFont="1" applyFill="1" applyBorder="1" applyAlignment="1">
      <alignment horizontal="center" vertical="center" wrapText="1"/>
    </xf>
    <xf numFmtId="0" fontId="121" fillId="21" borderId="84" xfId="0" applyFont="1" applyFill="1" applyBorder="1" applyAlignment="1">
      <alignment horizontal="center" vertical="center" wrapText="1"/>
    </xf>
    <xf numFmtId="0" fontId="121" fillId="21" borderId="0" xfId="0" applyFont="1" applyFill="1" applyBorder="1" applyAlignment="1">
      <alignment horizontal="center" vertical="center" wrapText="1"/>
    </xf>
    <xf numFmtId="0" fontId="118" fillId="21" borderId="59" xfId="0" applyFont="1" applyFill="1" applyBorder="1" applyAlignment="1">
      <alignment horizontal="center" vertical="center" wrapText="1"/>
    </xf>
    <xf numFmtId="0" fontId="121" fillId="21" borderId="14" xfId="0" applyFont="1" applyFill="1" applyBorder="1" applyAlignment="1">
      <alignment vertical="center" wrapText="1"/>
    </xf>
    <xf numFmtId="0" fontId="121" fillId="21" borderId="13" xfId="0" applyFont="1" applyFill="1" applyBorder="1" applyAlignment="1">
      <alignment vertical="center" wrapText="1"/>
    </xf>
    <xf numFmtId="0" fontId="121" fillId="21" borderId="94" xfId="0" applyFont="1" applyFill="1" applyBorder="1" applyAlignment="1">
      <alignment horizontal="center" vertical="center" wrapText="1"/>
    </xf>
    <xf numFmtId="0" fontId="121" fillId="21" borderId="96" xfId="0" applyFont="1" applyFill="1" applyBorder="1" applyAlignment="1">
      <alignment horizontal="center" vertical="center" wrapText="1"/>
    </xf>
    <xf numFmtId="0" fontId="121" fillId="21" borderId="65" xfId="0" applyFont="1" applyFill="1" applyBorder="1" applyAlignment="1">
      <alignment horizontal="center" vertical="center" wrapText="1"/>
    </xf>
    <xf numFmtId="0" fontId="121" fillId="21" borderId="95" xfId="0" applyFont="1" applyFill="1" applyBorder="1" applyAlignment="1">
      <alignment horizontal="center" vertical="center" wrapText="1"/>
    </xf>
    <xf numFmtId="0" fontId="121" fillId="21" borderId="59" xfId="0" applyFont="1" applyFill="1" applyBorder="1" applyAlignment="1">
      <alignment horizontal="center" vertical="center" wrapText="1"/>
    </xf>
    <xf numFmtId="0" fontId="118" fillId="21" borderId="60" xfId="0" applyFont="1" applyFill="1" applyBorder="1" applyAlignment="1">
      <alignment horizontal="center" vertical="center" wrapText="1"/>
    </xf>
    <xf numFmtId="0" fontId="118" fillId="21" borderId="97" xfId="0" applyFont="1" applyFill="1" applyBorder="1" applyAlignment="1">
      <alignment horizontal="center" vertical="center" wrapText="1"/>
    </xf>
    <xf numFmtId="164" fontId="10" fillId="0" borderId="9" xfId="1" applyNumberFormat="1" applyFont="1" applyBorder="1" applyAlignment="1">
      <alignment horizontal="center" vertical="center" wrapText="1"/>
    </xf>
    <xf numFmtId="164" fontId="10" fillId="0" borderId="10" xfId="1" applyNumberFormat="1" applyFont="1" applyBorder="1" applyAlignment="1">
      <alignment horizontal="center" vertical="center" wrapText="1"/>
    </xf>
    <xf numFmtId="164" fontId="10" fillId="19" borderId="1" xfId="1" applyNumberFormat="1" applyFont="1" applyFill="1" applyBorder="1" applyAlignment="1">
      <alignment horizontal="center" vertical="center" wrapText="1"/>
    </xf>
    <xf numFmtId="0" fontId="44" fillId="0" borderId="1" xfId="0" applyFont="1" applyBorder="1" applyAlignment="1">
      <alignment vertical="center" wrapText="1"/>
    </xf>
    <xf numFmtId="164" fontId="10" fillId="0" borderId="7" xfId="1" applyNumberFormat="1" applyFont="1" applyBorder="1" applyAlignment="1">
      <alignment horizontal="center" vertical="center" wrapText="1"/>
    </xf>
    <xf numFmtId="164" fontId="10" fillId="0" borderId="8" xfId="1" applyNumberFormat="1" applyFont="1" applyBorder="1" applyAlignment="1">
      <alignment horizontal="center" vertical="center" wrapText="1"/>
    </xf>
    <xf numFmtId="0" fontId="0" fillId="0" borderId="9" xfId="0" applyBorder="1" applyAlignment="1">
      <alignment vertical="center" wrapText="1"/>
    </xf>
    <xf numFmtId="164" fontId="0" fillId="0" borderId="2" xfId="1" applyNumberFormat="1" applyFont="1" applyFill="1" applyBorder="1" applyAlignment="1">
      <alignment wrapText="1"/>
    </xf>
    <xf numFmtId="164" fontId="0" fillId="0" borderId="9" xfId="1" applyNumberFormat="1" applyFont="1" applyFill="1" applyBorder="1" applyAlignment="1">
      <alignment wrapText="1"/>
    </xf>
    <xf numFmtId="0" fontId="113" fillId="21" borderId="0" xfId="0" applyFont="1" applyFill="1" applyAlignment="1">
      <alignment vertical="center"/>
    </xf>
    <xf numFmtId="9" fontId="113" fillId="21" borderId="59"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9" xfId="0" applyFont="1" applyBorder="1" applyAlignment="1">
      <alignment vertical="center" wrapText="1"/>
    </xf>
    <xf numFmtId="164" fontId="0" fillId="6" borderId="1" xfId="1" applyNumberFormat="1" applyFont="1" applyFill="1" applyBorder="1" applyAlignment="1">
      <alignment vertical="center" wrapText="1"/>
    </xf>
    <xf numFmtId="164" fontId="41" fillId="6" borderId="1" xfId="1" applyNumberFormat="1" applyFont="1" applyFill="1" applyBorder="1" applyAlignment="1">
      <alignment vertical="center" wrapText="1"/>
    </xf>
    <xf numFmtId="164" fontId="5" fillId="0" borderId="1" xfId="1" applyNumberFormat="1" applyFont="1" applyBorder="1" applyAlignment="1">
      <alignment horizontal="center" vertical="center" wrapText="1"/>
    </xf>
    <xf numFmtId="164" fontId="0" fillId="0" borderId="1" xfId="1" applyNumberFormat="1" applyFont="1" applyFill="1" applyBorder="1" applyAlignment="1">
      <alignment vertical="center" wrapText="1"/>
    </xf>
    <xf numFmtId="164" fontId="5" fillId="5" borderId="9" xfId="1" applyNumberFormat="1" applyFont="1" applyFill="1" applyBorder="1" applyAlignment="1">
      <alignment horizontal="center" vertical="center" wrapText="1"/>
    </xf>
    <xf numFmtId="0" fontId="114" fillId="21" borderId="1" xfId="0" applyFont="1" applyFill="1" applyBorder="1" applyAlignment="1">
      <alignment horizontal="center" vertical="center"/>
    </xf>
    <xf numFmtId="0" fontId="13" fillId="21" borderId="0" xfId="0" applyFont="1" applyFill="1" applyAlignment="1">
      <alignment vertical="center" wrapText="1"/>
    </xf>
    <xf numFmtId="0" fontId="86" fillId="21" borderId="0" xfId="0" applyFont="1" applyFill="1"/>
    <xf numFmtId="0" fontId="13" fillId="21" borderId="59" xfId="0" applyFont="1" applyFill="1" applyBorder="1" applyAlignment="1">
      <alignment horizontal="center" vertical="center" wrapText="1"/>
    </xf>
    <xf numFmtId="0" fontId="123" fillId="21" borderId="59" xfId="0" applyFont="1" applyFill="1" applyBorder="1" applyAlignment="1">
      <alignment horizontal="center" vertical="center" wrapText="1"/>
    </xf>
    <xf numFmtId="0" fontId="123" fillId="21" borderId="0" xfId="0" applyFont="1" applyFill="1" applyAlignment="1">
      <alignment vertical="center"/>
    </xf>
    <xf numFmtId="164" fontId="0" fillId="0" borderId="9" xfId="1" applyNumberFormat="1" applyFont="1" applyFill="1" applyBorder="1" applyAlignment="1">
      <alignment vertical="center" wrapText="1"/>
    </xf>
    <xf numFmtId="0" fontId="5" fillId="0" borderId="1" xfId="0" applyFont="1" applyBorder="1" applyAlignment="1">
      <alignment horizontal="right" vertical="center" wrapText="1"/>
    </xf>
    <xf numFmtId="0" fontId="124" fillId="0" borderId="1" xfId="0" applyFont="1" applyBorder="1" applyAlignment="1">
      <alignment vertical="center" wrapText="1"/>
    </xf>
    <xf numFmtId="0" fontId="1" fillId="0" borderId="0" xfId="0" applyFont="1" applyAlignment="1">
      <alignment horizontal="center" vertical="center"/>
    </xf>
    <xf numFmtId="0" fontId="1" fillId="0" borderId="0" xfId="0" applyFont="1"/>
    <xf numFmtId="0" fontId="125" fillId="0" borderId="0" xfId="0" applyFont="1"/>
    <xf numFmtId="0" fontId="72" fillId="0" borderId="0" xfId="0" applyFont="1" applyAlignment="1">
      <alignment horizontal="center" vertical="center" wrapText="1"/>
    </xf>
    <xf numFmtId="0" fontId="72" fillId="0" borderId="0" xfId="0" applyFont="1" applyAlignment="1">
      <alignment vertical="center" wrapText="1"/>
    </xf>
    <xf numFmtId="0" fontId="31" fillId="0" borderId="0" xfId="0" applyFont="1" applyAlignment="1">
      <alignment horizontal="center" vertical="center" wrapText="1"/>
    </xf>
    <xf numFmtId="0" fontId="1" fillId="0" borderId="0" xfId="0" applyFont="1" applyAlignment="1">
      <alignment vertical="center" wrapText="1"/>
    </xf>
    <xf numFmtId="0" fontId="1" fillId="21" borderId="1" xfId="0" applyFont="1" applyFill="1" applyBorder="1" applyAlignment="1">
      <alignment horizontal="center" vertical="center" wrapText="1"/>
    </xf>
    <xf numFmtId="0" fontId="1" fillId="21" borderId="7" xfId="0" applyFont="1" applyFill="1" applyBorder="1" applyAlignment="1">
      <alignment vertical="center" wrapText="1"/>
    </xf>
    <xf numFmtId="0" fontId="32" fillId="0" borderId="0" xfId="0" applyFont="1" applyAlignment="1">
      <alignment vertical="center" wrapText="1"/>
    </xf>
    <xf numFmtId="164" fontId="1" fillId="5" borderId="9" xfId="1" applyNumberFormat="1" applyFont="1" applyFill="1" applyBorder="1" applyAlignment="1">
      <alignment vertical="center" wrapText="1"/>
    </xf>
    <xf numFmtId="164" fontId="1" fillId="6" borderId="9" xfId="1" applyNumberFormat="1" applyFont="1" applyFill="1" applyBorder="1" applyAlignment="1">
      <alignment vertical="center" wrapText="1"/>
    </xf>
    <xf numFmtId="164" fontId="1" fillId="0" borderId="9" xfId="1" applyNumberFormat="1" applyFont="1" applyBorder="1" applyAlignment="1">
      <alignment vertical="center" wrapText="1"/>
    </xf>
    <xf numFmtId="164" fontId="1" fillId="5" borderId="1" xfId="1" applyNumberFormat="1" applyFont="1" applyFill="1" applyBorder="1" applyAlignment="1">
      <alignment vertical="center" wrapText="1"/>
    </xf>
    <xf numFmtId="164" fontId="1" fillId="6" borderId="1" xfId="1" applyNumberFormat="1" applyFont="1" applyFill="1" applyBorder="1" applyAlignment="1">
      <alignment vertical="center" wrapText="1"/>
    </xf>
    <xf numFmtId="0" fontId="1" fillId="0" borderId="1" xfId="0" applyFont="1" applyBorder="1" applyAlignment="1">
      <alignment vertical="center" wrapText="1"/>
    </xf>
    <xf numFmtId="164" fontId="1" fillId="0" borderId="1" xfId="1" applyNumberFormat="1" applyFont="1" applyFill="1" applyBorder="1" applyAlignment="1">
      <alignment vertical="center" wrapText="1"/>
    </xf>
    <xf numFmtId="164" fontId="5" fillId="0" borderId="9" xfId="1" applyNumberFormat="1" applyFont="1" applyBorder="1" applyAlignment="1">
      <alignment vertical="center" wrapText="1"/>
    </xf>
    <xf numFmtId="0" fontId="114" fillId="21" borderId="0" xfId="0" applyFont="1" applyFill="1" applyBorder="1" applyAlignment="1">
      <alignment horizontal="center" vertical="center" wrapText="1"/>
    </xf>
    <xf numFmtId="9" fontId="114" fillId="21" borderId="59" xfId="0" applyNumberFormat="1" applyFont="1" applyFill="1" applyBorder="1" applyAlignment="1">
      <alignment horizontal="center" vertical="center" wrapText="1"/>
    </xf>
    <xf numFmtId="0" fontId="114" fillId="21" borderId="3" xfId="0" applyFont="1" applyFill="1" applyBorder="1" applyAlignment="1">
      <alignment horizontal="center" vertical="center"/>
    </xf>
    <xf numFmtId="0" fontId="126" fillId="21" borderId="0" xfId="0" applyFont="1" applyFill="1" applyAlignment="1">
      <alignment vertical="center" wrapText="1"/>
    </xf>
    <xf numFmtId="0" fontId="126" fillId="21" borderId="59" xfId="0" applyFont="1" applyFill="1" applyBorder="1" applyAlignment="1">
      <alignment horizontal="center" vertical="center" wrapText="1"/>
    </xf>
    <xf numFmtId="0" fontId="5" fillId="0" borderId="9" xfId="0" applyFont="1" applyBorder="1" applyAlignment="1">
      <alignment vertical="center" wrapText="1"/>
    </xf>
    <xf numFmtId="0" fontId="0" fillId="0" borderId="1" xfId="0" applyFont="1" applyBorder="1" applyAlignment="1">
      <alignment horizontal="center" wrapText="1"/>
    </xf>
    <xf numFmtId="0" fontId="0" fillId="0" borderId="0" xfId="0" applyFont="1" applyAlignment="1">
      <alignment wrapText="1"/>
    </xf>
    <xf numFmtId="0" fontId="94" fillId="0" borderId="0" xfId="0" applyFont="1" applyAlignment="1">
      <alignment wrapText="1"/>
    </xf>
    <xf numFmtId="0" fontId="0" fillId="21" borderId="0" xfId="0" applyFont="1" applyFill="1" applyAlignment="1">
      <alignment vertical="center" wrapText="1"/>
    </xf>
    <xf numFmtId="164" fontId="127" fillId="10" borderId="9" xfId="1" applyNumberFormat="1" applyFont="1" applyFill="1" applyBorder="1" applyAlignment="1">
      <alignment vertical="center" wrapText="1"/>
    </xf>
    <xf numFmtId="0" fontId="3" fillId="0" borderId="7" xfId="0" applyFont="1" applyBorder="1" applyAlignment="1">
      <alignment vertical="center" wrapText="1"/>
    </xf>
    <xf numFmtId="0" fontId="0" fillId="21" borderId="0" xfId="0" applyFont="1" applyFill="1" applyAlignment="1">
      <alignment wrapText="1"/>
    </xf>
    <xf numFmtId="0" fontId="0" fillId="0" borderId="7" xfId="0" applyFont="1" applyBorder="1" applyAlignment="1">
      <alignment horizontal="left" vertical="center" wrapText="1"/>
    </xf>
    <xf numFmtId="0" fontId="122" fillId="0" borderId="0" xfId="0" applyFont="1" applyAlignment="1">
      <alignment horizontal="left" vertical="top" wrapText="1"/>
    </xf>
    <xf numFmtId="164" fontId="1" fillId="0" borderId="0" xfId="0" applyNumberFormat="1" applyFont="1"/>
    <xf numFmtId="0" fontId="0" fillId="0" borderId="9" xfId="0" applyFont="1" applyBorder="1" applyAlignment="1">
      <alignment wrapText="1"/>
    </xf>
    <xf numFmtId="0" fontId="11" fillId="0" borderId="9" xfId="0" applyFont="1" applyBorder="1" applyAlignment="1">
      <alignment horizontal="justify" vertical="center" wrapText="1"/>
    </xf>
    <xf numFmtId="164" fontId="10" fillId="3" borderId="9" xfId="1" applyNumberFormat="1" applyFont="1" applyFill="1" applyBorder="1" applyAlignment="1">
      <alignment vertical="center" wrapText="1"/>
    </xf>
    <xf numFmtId="164" fontId="10" fillId="0" borderId="1" xfId="1" applyNumberFormat="1" applyFont="1" applyBorder="1" applyAlignment="1">
      <alignment vertical="center" wrapText="1"/>
    </xf>
    <xf numFmtId="164" fontId="10" fillId="3" borderId="1" xfId="1" applyNumberFormat="1" applyFont="1" applyFill="1" applyBorder="1" applyAlignment="1">
      <alignment vertical="center" wrapText="1"/>
    </xf>
    <xf numFmtId="49" fontId="114" fillId="21" borderId="77" xfId="7" applyNumberFormat="1" applyFont="1" applyFill="1" applyBorder="1" applyAlignment="1">
      <alignment horizontal="center" vertical="center" wrapText="1"/>
    </xf>
    <xf numFmtId="49" fontId="114" fillId="21" borderId="77" xfId="7" quotePrefix="1" applyNumberFormat="1" applyFont="1" applyFill="1" applyBorder="1" applyAlignment="1">
      <alignment horizontal="center" vertical="center" wrapText="1"/>
    </xf>
    <xf numFmtId="0" fontId="114" fillId="21" borderId="2" xfId="7" applyFont="1" applyFill="1" applyBorder="1" applyAlignment="1">
      <alignment horizontal="center" vertical="center" wrapText="1"/>
    </xf>
    <xf numFmtId="0" fontId="114" fillId="21" borderId="9" xfId="7" applyFont="1" applyFill="1" applyBorder="1" applyAlignment="1">
      <alignment horizontal="center" vertical="center" wrapText="1"/>
    </xf>
    <xf numFmtId="0" fontId="114" fillId="21" borderId="15" xfId="7" applyFont="1" applyFill="1" applyBorder="1" applyAlignment="1">
      <alignment horizontal="center" vertical="center" wrapText="1"/>
    </xf>
    <xf numFmtId="0" fontId="114" fillId="21" borderId="5" xfId="7" applyFont="1" applyFill="1" applyBorder="1" applyAlignment="1">
      <alignment horizontal="center" vertical="center" wrapText="1"/>
    </xf>
    <xf numFmtId="0" fontId="114" fillId="21" borderId="1" xfId="7" applyFont="1" applyFill="1" applyBorder="1" applyAlignment="1">
      <alignment horizontal="center" vertical="center" wrapText="1"/>
    </xf>
    <xf numFmtId="0" fontId="114" fillId="21" borderId="7" xfId="7" applyFont="1" applyFill="1" applyBorder="1" applyAlignment="1">
      <alignment horizontal="center" vertical="center" wrapText="1"/>
    </xf>
    <xf numFmtId="0" fontId="0" fillId="0" borderId="0" xfId="0" applyFont="1" applyAlignment="1">
      <alignment horizontal="center" vertical="center"/>
    </xf>
    <xf numFmtId="0" fontId="0" fillId="0" borderId="0" xfId="0" applyFont="1" applyAlignment="1">
      <alignment vertical="center" wrapText="1"/>
    </xf>
    <xf numFmtId="0" fontId="0" fillId="0" borderId="0" xfId="0" applyFont="1" applyAlignment="1">
      <alignment horizontal="left" vertical="center"/>
    </xf>
    <xf numFmtId="0" fontId="96" fillId="0" borderId="1" xfId="7" applyFont="1" applyBorder="1" applyAlignment="1">
      <alignment horizontal="left" vertical="center" wrapText="1"/>
    </xf>
    <xf numFmtId="164" fontId="97" fillId="0" borderId="1" xfId="1" applyNumberFormat="1" applyFont="1" applyFill="1" applyBorder="1" applyAlignment="1">
      <alignment wrapText="1"/>
    </xf>
    <xf numFmtId="0" fontId="114" fillId="21" borderId="102" xfId="0" applyFont="1" applyFill="1" applyBorder="1"/>
    <xf numFmtId="0" fontId="114" fillId="21" borderId="103" xfId="0" applyFont="1" applyFill="1" applyBorder="1"/>
    <xf numFmtId="0" fontId="114" fillId="21" borderId="104" xfId="0" applyFont="1" applyFill="1" applyBorder="1"/>
    <xf numFmtId="0" fontId="114" fillId="21" borderId="105" xfId="0" applyFont="1" applyFill="1" applyBorder="1"/>
    <xf numFmtId="0" fontId="114" fillId="21" borderId="3" xfId="0" applyFont="1" applyFill="1" applyBorder="1"/>
    <xf numFmtId="0" fontId="114" fillId="21" borderId="64" xfId="0" applyFont="1" applyFill="1" applyBorder="1"/>
    <xf numFmtId="49" fontId="129" fillId="21" borderId="78" xfId="8" applyNumberFormat="1" applyFont="1" applyFill="1" applyBorder="1" applyAlignment="1">
      <alignment horizontal="center" vertical="center" wrapText="1"/>
    </xf>
    <xf numFmtId="49" fontId="128" fillId="21" borderId="113" xfId="8" applyNumberFormat="1" applyFont="1" applyFill="1" applyBorder="1" applyAlignment="1">
      <alignment horizontal="center" vertical="center" wrapText="1"/>
    </xf>
    <xf numFmtId="0" fontId="6" fillId="4" borderId="1" xfId="9" applyFont="1" applyFill="1" applyBorder="1" applyAlignment="1">
      <alignment horizontal="center" vertical="center" wrapText="1"/>
    </xf>
    <xf numFmtId="164" fontId="5" fillId="13" borderId="37" xfId="1" applyNumberFormat="1" applyFont="1" applyFill="1" applyBorder="1" applyAlignment="1">
      <alignment wrapText="1"/>
    </xf>
    <xf numFmtId="164" fontId="6" fillId="0" borderId="38" xfId="1" applyNumberFormat="1" applyFont="1" applyFill="1" applyBorder="1" applyAlignment="1">
      <alignment horizontal="center" wrapText="1"/>
    </xf>
    <xf numFmtId="164" fontId="5" fillId="0" borderId="39" xfId="1" applyNumberFormat="1" applyFont="1" applyFill="1" applyBorder="1" applyAlignment="1">
      <alignment wrapText="1"/>
    </xf>
    <xf numFmtId="164" fontId="5" fillId="13" borderId="40" xfId="1" applyNumberFormat="1" applyFont="1" applyFill="1" applyBorder="1" applyAlignment="1">
      <alignment wrapText="1"/>
    </xf>
    <xf numFmtId="164" fontId="5" fillId="13" borderId="41" xfId="1" applyNumberFormat="1" applyFont="1" applyFill="1" applyBorder="1" applyAlignment="1">
      <alignment wrapText="1"/>
    </xf>
    <xf numFmtId="164" fontId="6" fillId="13" borderId="41" xfId="1" applyNumberFormat="1" applyFont="1" applyFill="1" applyBorder="1" applyAlignment="1">
      <alignment horizontal="center" wrapText="1"/>
    </xf>
    <xf numFmtId="164" fontId="5" fillId="7" borderId="40" xfId="1" applyNumberFormat="1" applyFont="1" applyFill="1" applyBorder="1" applyAlignment="1">
      <alignment wrapText="1"/>
    </xf>
    <xf numFmtId="164" fontId="5" fillId="7" borderId="41" xfId="1" applyNumberFormat="1" applyFont="1" applyFill="1" applyBorder="1" applyAlignment="1">
      <alignment wrapText="1"/>
    </xf>
    <xf numFmtId="164" fontId="5" fillId="0" borderId="42" xfId="1" applyNumberFormat="1" applyFont="1" applyFill="1" applyBorder="1" applyAlignment="1">
      <alignment wrapText="1"/>
    </xf>
    <xf numFmtId="164" fontId="5" fillId="0" borderId="43" xfId="1" applyNumberFormat="1" applyFont="1" applyFill="1" applyBorder="1" applyAlignment="1">
      <alignment wrapText="1"/>
    </xf>
    <xf numFmtId="164" fontId="5" fillId="0" borderId="44" xfId="1" applyNumberFormat="1" applyFont="1" applyFill="1" applyBorder="1" applyAlignment="1">
      <alignment wrapText="1"/>
    </xf>
    <xf numFmtId="164" fontId="5" fillId="0" borderId="45" xfId="1" applyNumberFormat="1" applyFont="1" applyFill="1" applyBorder="1" applyAlignment="1">
      <alignment wrapText="1"/>
    </xf>
    <xf numFmtId="164" fontId="5" fillId="0" borderId="46" xfId="1" applyNumberFormat="1" applyFont="1" applyFill="1" applyBorder="1" applyAlignment="1">
      <alignment wrapText="1"/>
    </xf>
    <xf numFmtId="0" fontId="6" fillId="0" borderId="1" xfId="0" applyFont="1" applyBorder="1" applyAlignment="1">
      <alignment wrapText="1"/>
    </xf>
    <xf numFmtId="0" fontId="6" fillId="0" borderId="1" xfId="0" applyFont="1" applyBorder="1" applyAlignment="1">
      <alignment horizontal="left" wrapText="1"/>
    </xf>
    <xf numFmtId="0" fontId="6" fillId="7" borderId="1" xfId="0" applyFont="1" applyFill="1" applyBorder="1" applyAlignment="1">
      <alignment horizontal="left" wrapText="1"/>
    </xf>
    <xf numFmtId="0" fontId="6" fillId="21" borderId="0" xfId="10" applyFont="1" applyFill="1" applyBorder="1" applyAlignment="1">
      <alignment vertical="center"/>
    </xf>
    <xf numFmtId="0" fontId="5" fillId="21" borderId="0" xfId="6" applyFont="1" applyFill="1">
      <alignment vertical="center"/>
    </xf>
    <xf numFmtId="0" fontId="5" fillId="21" borderId="0" xfId="3" applyFont="1" applyFill="1">
      <alignment vertical="center"/>
    </xf>
    <xf numFmtId="0" fontId="113" fillId="21" borderId="76" xfId="12" applyFont="1" applyFill="1" applyBorder="1" applyAlignment="1">
      <alignment horizontal="center" vertical="center" wrapText="1"/>
    </xf>
    <xf numFmtId="0" fontId="113" fillId="21" borderId="76" xfId="3" applyFont="1" applyFill="1" applyBorder="1" applyAlignment="1">
      <alignment horizontal="center" vertical="center" wrapText="1"/>
    </xf>
    <xf numFmtId="0" fontId="114" fillId="21" borderId="59" xfId="3" quotePrefix="1" applyFont="1" applyFill="1" applyBorder="1" applyAlignment="1">
      <alignment horizontal="center" vertical="center"/>
    </xf>
    <xf numFmtId="0" fontId="113" fillId="21" borderId="59" xfId="3" applyFont="1" applyFill="1" applyBorder="1" applyAlignment="1">
      <alignment horizontal="center" vertical="center" wrapText="1"/>
    </xf>
    <xf numFmtId="0" fontId="114" fillId="21" borderId="0" xfId="6" applyFont="1" applyFill="1" applyAlignment="1"/>
    <xf numFmtId="0" fontId="6" fillId="0" borderId="1" xfId="3" quotePrefix="1" applyFont="1" applyBorder="1" applyAlignment="1">
      <alignment horizontal="center" vertical="center" wrapText="1"/>
    </xf>
    <xf numFmtId="0" fontId="6" fillId="0" borderId="10" xfId="3" applyFont="1" applyBorder="1" applyAlignment="1">
      <alignment horizontal="left" vertical="center" wrapText="1"/>
    </xf>
    <xf numFmtId="164" fontId="5" fillId="0" borderId="9" xfId="1" applyNumberFormat="1" applyFont="1" applyFill="1" applyBorder="1" applyAlignment="1" applyProtection="1">
      <alignment horizontal="center" vertical="center" wrapText="1"/>
      <protection locked="0"/>
    </xf>
    <xf numFmtId="164" fontId="5" fillId="19" borderId="9" xfId="1" applyNumberFormat="1" applyFont="1" applyFill="1" applyBorder="1" applyAlignment="1" applyProtection="1">
      <alignment horizontal="center" vertical="center" wrapText="1"/>
      <protection locked="0"/>
    </xf>
    <xf numFmtId="164" fontId="5" fillId="19" borderId="2" xfId="1" applyNumberFormat="1" applyFont="1" applyFill="1" applyBorder="1" applyAlignment="1" applyProtection="1">
      <alignment horizontal="center" vertical="center" wrapText="1"/>
      <protection locked="0"/>
    </xf>
    <xf numFmtId="0" fontId="5" fillId="0" borderId="1" xfId="3" quotePrefix="1" applyFont="1" applyBorder="1" applyAlignment="1">
      <alignment horizontal="center" vertical="center" wrapText="1"/>
    </xf>
    <xf numFmtId="0" fontId="5" fillId="0" borderId="5" xfId="3" applyFont="1" applyBorder="1" applyAlignment="1">
      <alignment horizontal="left" vertical="center" wrapText="1"/>
    </xf>
    <xf numFmtId="164" fontId="5" fillId="0" borderId="1" xfId="1" applyNumberFormat="1" applyFont="1" applyFill="1" applyBorder="1" applyAlignment="1" applyProtection="1">
      <alignment horizontal="center" vertical="center" wrapText="1"/>
      <protection locked="0"/>
    </xf>
    <xf numFmtId="164" fontId="5" fillId="0" borderId="5" xfId="1" applyNumberFormat="1" applyFont="1" applyFill="1" applyBorder="1" applyAlignment="1" applyProtection="1">
      <alignment horizontal="center" vertical="center" wrapText="1"/>
      <protection locked="0"/>
    </xf>
    <xf numFmtId="0" fontId="5" fillId="0" borderId="13" xfId="3" applyFont="1" applyBorder="1" applyAlignment="1">
      <alignment horizontal="left" vertical="center" wrapText="1"/>
    </xf>
    <xf numFmtId="164" fontId="99" fillId="19" borderId="1" xfId="1" applyNumberFormat="1" applyFont="1" applyFill="1" applyBorder="1" applyAlignment="1" applyProtection="1">
      <alignment horizontal="center" vertical="center" wrapText="1"/>
      <protection locked="0"/>
    </xf>
    <xf numFmtId="164" fontId="99" fillId="19" borderId="5" xfId="1" applyNumberFormat="1" applyFont="1" applyFill="1" applyBorder="1" applyAlignment="1" applyProtection="1">
      <alignment horizontal="center" vertical="center" wrapText="1"/>
      <protection locked="0"/>
    </xf>
    <xf numFmtId="0" fontId="130" fillId="0" borderId="0" xfId="0" applyFont="1" applyAlignment="1">
      <alignment vertical="center"/>
    </xf>
    <xf numFmtId="0" fontId="131" fillId="0" borderId="0" xfId="0" applyFont="1" applyAlignment="1">
      <alignment vertical="center"/>
    </xf>
    <xf numFmtId="0" fontId="132" fillId="0" borderId="0" xfId="0" applyFont="1" applyAlignment="1">
      <alignment vertical="center"/>
    </xf>
    <xf numFmtId="0" fontId="0" fillId="0" borderId="0" xfId="0" applyAlignment="1">
      <alignment horizontal="left"/>
    </xf>
    <xf numFmtId="0" fontId="133" fillId="0" borderId="0" xfId="0" applyFont="1" applyAlignment="1">
      <alignment vertical="center"/>
    </xf>
    <xf numFmtId="0" fontId="0" fillId="0" borderId="0" xfId="0" applyAlignment="1">
      <alignment horizontal="right" vertical="top"/>
    </xf>
    <xf numFmtId="0" fontId="135" fillId="0" borderId="0" xfId="0" applyFont="1" applyAlignment="1">
      <alignment vertical="center"/>
    </xf>
    <xf numFmtId="0" fontId="136" fillId="0" borderId="0" xfId="0" applyFont="1" applyAlignment="1">
      <alignment vertical="center"/>
    </xf>
    <xf numFmtId="0" fontId="110" fillId="0" borderId="0" xfId="13" applyAlignment="1">
      <alignment horizontal="left"/>
    </xf>
    <xf numFmtId="6" fontId="114" fillId="21" borderId="59" xfId="0" applyNumberFormat="1" applyFont="1" applyFill="1" applyBorder="1" applyAlignment="1">
      <alignment horizontal="center" vertical="center" wrapText="1"/>
    </xf>
    <xf numFmtId="0" fontId="137" fillId="21" borderId="0" xfId="0" applyFont="1" applyFill="1"/>
    <xf numFmtId="0" fontId="113" fillId="21" borderId="0" xfId="0" applyFont="1" applyFill="1" applyAlignment="1">
      <alignment horizontal="center"/>
    </xf>
    <xf numFmtId="0" fontId="3" fillId="0" borderId="6" xfId="0" applyFont="1" applyBorder="1"/>
    <xf numFmtId="0" fontId="0" fillId="0" borderId="5" xfId="0" applyBorder="1"/>
    <xf numFmtId="0" fontId="0" fillId="0" borderId="8" xfId="0" applyBorder="1"/>
    <xf numFmtId="0" fontId="5" fillId="0" borderId="14" xfId="0" applyFont="1" applyBorder="1"/>
    <xf numFmtId="0" fontId="110" fillId="0" borderId="14" xfId="13" applyBorder="1" applyAlignment="1">
      <alignment horizontal="center"/>
    </xf>
    <xf numFmtId="0" fontId="0" fillId="0" borderId="13" xfId="0" applyBorder="1"/>
    <xf numFmtId="0" fontId="0" fillId="0" borderId="3" xfId="0" applyFont="1" applyBorder="1"/>
    <xf numFmtId="0" fontId="110" fillId="0" borderId="3" xfId="13" applyBorder="1" applyAlignment="1">
      <alignment horizontal="center"/>
    </xf>
    <xf numFmtId="0" fontId="0" fillId="0" borderId="2" xfId="0" applyBorder="1"/>
    <xf numFmtId="0" fontId="0" fillId="0" borderId="14" xfId="0" applyFont="1" applyBorder="1" applyAlignment="1">
      <alignment horizontal="left" wrapText="1"/>
    </xf>
    <xf numFmtId="0" fontId="0" fillId="0" borderId="13" xfId="0" applyFont="1" applyBorder="1"/>
    <xf numFmtId="0" fontId="0" fillId="0" borderId="34" xfId="0" applyBorder="1"/>
    <xf numFmtId="0" fontId="0" fillId="0" borderId="0" xfId="0" applyFont="1" applyBorder="1" applyAlignment="1">
      <alignment horizontal="left" wrapText="1"/>
    </xf>
    <xf numFmtId="0" fontId="110" fillId="0" borderId="0" xfId="13" applyBorder="1" applyAlignment="1">
      <alignment horizontal="center"/>
    </xf>
    <xf numFmtId="0" fontId="0" fillId="0" borderId="4" xfId="0" applyBorder="1"/>
    <xf numFmtId="0" fontId="0" fillId="0" borderId="0" xfId="0" applyFont="1" applyBorder="1" applyAlignment="1"/>
    <xf numFmtId="0" fontId="0" fillId="0" borderId="3" xfId="0" applyFont="1" applyBorder="1" applyAlignment="1"/>
    <xf numFmtId="0" fontId="110" fillId="0" borderId="6" xfId="13" applyBorder="1" applyAlignment="1">
      <alignment horizontal="center"/>
    </xf>
    <xf numFmtId="0" fontId="0" fillId="0" borderId="14" xfId="0" applyFont="1" applyBorder="1" applyAlignment="1"/>
    <xf numFmtId="0" fontId="3" fillId="0" borderId="6" xfId="0" applyFont="1" applyBorder="1" applyAlignment="1"/>
    <xf numFmtId="0" fontId="0" fillId="0" borderId="3" xfId="0" applyFont="1" applyBorder="1" applyAlignment="1">
      <alignment horizontal="left" wrapText="1"/>
    </xf>
    <xf numFmtId="0" fontId="0" fillId="0" borderId="0" xfId="0" applyBorder="1"/>
    <xf numFmtId="0" fontId="0" fillId="0" borderId="6" xfId="0" applyFont="1" applyBorder="1" applyAlignment="1">
      <alignment horizontal="left" wrapText="1"/>
    </xf>
    <xf numFmtId="0" fontId="0" fillId="0" borderId="14" xfId="0" applyBorder="1"/>
    <xf numFmtId="0" fontId="0" fillId="0" borderId="6" xfId="0" applyBorder="1"/>
    <xf numFmtId="0" fontId="0" fillId="7" borderId="7" xfId="0" applyFill="1" applyBorder="1"/>
    <xf numFmtId="0" fontId="3" fillId="7" borderId="6" xfId="0" applyFont="1" applyFill="1" applyBorder="1"/>
    <xf numFmtId="0" fontId="0" fillId="7" borderId="5" xfId="0" applyFill="1" applyBorder="1"/>
    <xf numFmtId="0" fontId="113" fillId="21" borderId="0" xfId="0" applyFont="1" applyFill="1"/>
    <xf numFmtId="0" fontId="114" fillId="21" borderId="90" xfId="0" applyFont="1" applyFill="1" applyBorder="1"/>
    <xf numFmtId="0" fontId="114" fillId="21" borderId="63" xfId="0" applyFont="1" applyFill="1" applyBorder="1"/>
    <xf numFmtId="0" fontId="114" fillId="21" borderId="93" xfId="0" applyFont="1" applyFill="1" applyBorder="1" applyAlignment="1">
      <alignment horizontal="center"/>
    </xf>
    <xf numFmtId="0" fontId="114" fillId="21" borderId="101" xfId="0" applyFont="1" applyFill="1" applyBorder="1"/>
    <xf numFmtId="0" fontId="113" fillId="21" borderId="65" xfId="0" applyFont="1" applyFill="1" applyBorder="1" applyAlignment="1">
      <alignment horizontal="center" wrapText="1"/>
    </xf>
    <xf numFmtId="0" fontId="0" fillId="21" borderId="0" xfId="0" applyFill="1" applyBorder="1"/>
    <xf numFmtId="0" fontId="114" fillId="21" borderId="69" xfId="0" applyFont="1" applyFill="1" applyBorder="1"/>
    <xf numFmtId="0" fontId="0" fillId="21" borderId="63" xfId="0" applyFill="1" applyBorder="1"/>
    <xf numFmtId="0" fontId="114" fillId="21" borderId="70" xfId="0" applyFont="1" applyFill="1" applyBorder="1"/>
    <xf numFmtId="0" fontId="114" fillId="21" borderId="59" xfId="0" applyFont="1" applyFill="1" applyBorder="1" applyAlignment="1">
      <alignment horizontal="center" vertical="center"/>
    </xf>
    <xf numFmtId="0" fontId="114" fillId="21" borderId="59" xfId="0" applyFont="1" applyFill="1" applyBorder="1" applyAlignment="1">
      <alignment horizontal="center" vertical="center" wrapText="1"/>
    </xf>
    <xf numFmtId="0" fontId="5" fillId="0" borderId="11" xfId="0" applyFont="1" applyBorder="1" applyAlignment="1">
      <alignment horizontal="center" vertical="center"/>
    </xf>
    <xf numFmtId="0" fontId="5" fillId="0" borderId="9" xfId="0" applyFont="1" applyBorder="1" applyAlignment="1">
      <alignment horizontal="left" vertical="center" wrapText="1"/>
    </xf>
    <xf numFmtId="0" fontId="114" fillId="21" borderId="77" xfId="0" applyFont="1" applyFill="1" applyBorder="1" applyAlignment="1">
      <alignment horizontal="center"/>
    </xf>
    <xf numFmtId="0" fontId="114" fillId="21" borderId="59" xfId="0" applyFont="1" applyFill="1" applyBorder="1" applyAlignment="1">
      <alignment horizontal="center"/>
    </xf>
    <xf numFmtId="0" fontId="43" fillId="0" borderId="0" xfId="0" applyFont="1" applyBorder="1"/>
    <xf numFmtId="0" fontId="43" fillId="0" borderId="0" xfId="0" applyFont="1"/>
    <xf numFmtId="0" fontId="123" fillId="21" borderId="59" xfId="0" applyFont="1" applyFill="1" applyBorder="1" applyAlignment="1">
      <alignment horizontal="center" vertical="center" wrapText="1"/>
    </xf>
    <xf numFmtId="0" fontId="114" fillId="21" borderId="59" xfId="0" applyFont="1" applyFill="1" applyBorder="1" applyAlignment="1">
      <alignment horizontal="center" vertical="center" wrapText="1"/>
    </xf>
    <xf numFmtId="0" fontId="0" fillId="0" borderId="8" xfId="0" applyBorder="1" applyAlignment="1">
      <alignment vertical="top"/>
    </xf>
    <xf numFmtId="0" fontId="113" fillId="21" borderId="8" xfId="0" applyFont="1" applyFill="1" applyBorder="1"/>
    <xf numFmtId="0" fontId="114" fillId="21" borderId="14" xfId="0" applyFont="1" applyFill="1" applyBorder="1"/>
    <xf numFmtId="0" fontId="114" fillId="21" borderId="13" xfId="0" applyFont="1" applyFill="1" applyBorder="1"/>
    <xf numFmtId="0" fontId="0" fillId="0" borderId="0" xfId="0" applyFont="1" applyBorder="1"/>
    <xf numFmtId="0" fontId="0" fillId="0" borderId="34" xfId="0" applyBorder="1" applyAlignment="1">
      <alignment vertical="top"/>
    </xf>
    <xf numFmtId="0" fontId="36" fillId="21" borderId="0" xfId="0" applyFont="1" applyFill="1" applyAlignment="1">
      <alignment horizontal="center" vertical="center" wrapText="1"/>
    </xf>
    <xf numFmtId="0" fontId="36" fillId="21" borderId="0" xfId="0" applyFont="1" applyFill="1" applyAlignment="1">
      <alignment horizontal="center" vertical="center"/>
    </xf>
    <xf numFmtId="164" fontId="36" fillId="6" borderId="9" xfId="1" applyNumberFormat="1" applyFont="1" applyFill="1" applyBorder="1" applyAlignment="1">
      <alignment vertical="center"/>
    </xf>
    <xf numFmtId="164" fontId="36" fillId="0" borderId="9" xfId="1" applyNumberFormat="1" applyFont="1" applyBorder="1" applyAlignment="1">
      <alignment vertical="center"/>
    </xf>
    <xf numFmtId="0" fontId="123" fillId="21" borderId="77" xfId="0" applyFont="1" applyFill="1" applyBorder="1" applyAlignment="1">
      <alignment horizontal="center" vertical="center" wrapText="1"/>
    </xf>
    <xf numFmtId="0" fontId="5" fillId="21" borderId="0" xfId="0" applyFont="1" applyFill="1" applyAlignment="1">
      <alignment vertical="center"/>
    </xf>
    <xf numFmtId="0" fontId="5" fillId="21" borderId="3" xfId="0" applyFont="1" applyFill="1" applyBorder="1" applyAlignment="1">
      <alignment vertical="center"/>
    </xf>
    <xf numFmtId="0" fontId="5" fillId="21" borderId="0" xfId="0" applyFont="1" applyFill="1" applyBorder="1" applyAlignment="1">
      <alignment vertical="center"/>
    </xf>
    <xf numFmtId="0" fontId="114" fillId="21" borderId="74" xfId="0" applyFont="1" applyFill="1" applyBorder="1" applyAlignment="1">
      <alignment horizontal="center"/>
    </xf>
    <xf numFmtId="0" fontId="114" fillId="21" borderId="3" xfId="0" applyFont="1" applyFill="1" applyBorder="1" applyAlignment="1">
      <alignment horizontal="center"/>
    </xf>
    <xf numFmtId="0" fontId="114" fillId="21" borderId="76" xfId="0" applyFont="1" applyFill="1" applyBorder="1" applyAlignment="1">
      <alignment horizontal="center"/>
    </xf>
    <xf numFmtId="0" fontId="5" fillId="0" borderId="9" xfId="0" applyFont="1" applyBorder="1" applyAlignment="1">
      <alignment vertical="center"/>
    </xf>
    <xf numFmtId="0" fontId="5" fillId="0" borderId="34" xfId="0" applyFont="1" applyBorder="1" applyAlignment="1">
      <alignment horizontal="center"/>
    </xf>
    <xf numFmtId="0" fontId="114" fillId="21" borderId="66" xfId="0" applyFont="1" applyFill="1" applyBorder="1" applyAlignment="1">
      <alignment horizontal="center"/>
    </xf>
    <xf numFmtId="0" fontId="114" fillId="21" borderId="66" xfId="0" applyFont="1" applyFill="1" applyBorder="1" applyAlignment="1">
      <alignment horizontal="center" vertical="center"/>
    </xf>
    <xf numFmtId="0" fontId="5" fillId="0" borderId="9" xfId="0" applyFont="1" applyBorder="1"/>
    <xf numFmtId="9" fontId="114" fillId="21" borderId="76" xfId="2" applyFont="1" applyFill="1" applyBorder="1" applyAlignment="1">
      <alignment horizontal="center" vertical="center" wrapText="1"/>
    </xf>
    <xf numFmtId="0" fontId="5" fillId="21" borderId="0" xfId="0" applyFont="1" applyFill="1" applyBorder="1"/>
    <xf numFmtId="0" fontId="5" fillId="21" borderId="3" xfId="0" applyFont="1" applyFill="1" applyBorder="1"/>
    <xf numFmtId="9" fontId="114" fillId="21" borderId="59" xfId="2" applyFont="1" applyFill="1" applyBorder="1" applyAlignment="1">
      <alignment horizontal="center" vertical="center" wrapText="1"/>
    </xf>
    <xf numFmtId="0" fontId="114" fillId="21" borderId="15" xfId="0" applyFont="1" applyFill="1" applyBorder="1" applyAlignment="1">
      <alignment horizontal="center"/>
    </xf>
    <xf numFmtId="0" fontId="6" fillId="21" borderId="0" xfId="0" applyFont="1" applyFill="1"/>
    <xf numFmtId="164" fontId="5" fillId="0" borderId="9" xfId="1" applyNumberFormat="1" applyFont="1" applyBorder="1"/>
    <xf numFmtId="0" fontId="114" fillId="21" borderId="59" xfId="0" applyFont="1" applyFill="1" applyBorder="1" applyAlignment="1">
      <alignment horizontal="left" vertical="top" wrapText="1"/>
    </xf>
    <xf numFmtId="0" fontId="100" fillId="0" borderId="9" xfId="8" applyFont="1" applyBorder="1" applyAlignment="1">
      <alignment wrapText="1"/>
    </xf>
    <xf numFmtId="164" fontId="0" fillId="0" borderId="9" xfId="1" applyNumberFormat="1" applyFont="1" applyBorder="1"/>
    <xf numFmtId="0" fontId="114" fillId="21" borderId="77" xfId="0" applyFont="1" applyFill="1" applyBorder="1" applyAlignment="1">
      <alignment horizontal="center" wrapText="1"/>
    </xf>
    <xf numFmtId="0" fontId="5" fillId="0" borderId="9" xfId="3" quotePrefix="1" applyFont="1" applyBorder="1" applyAlignment="1">
      <alignment horizontal="center" vertical="center"/>
    </xf>
    <xf numFmtId="0" fontId="114" fillId="21" borderId="0" xfId="3" quotePrefix="1" applyFont="1" applyFill="1" applyAlignment="1">
      <alignment horizontal="right" vertical="center"/>
    </xf>
    <xf numFmtId="0" fontId="114" fillId="21" borderId="0" xfId="3" applyFont="1" applyFill="1" applyAlignment="1">
      <alignment horizontal="left" vertical="center" wrapText="1" indent="1"/>
    </xf>
    <xf numFmtId="0" fontId="114" fillId="21" borderId="0" xfId="6" applyFont="1" applyFill="1">
      <alignment vertical="center"/>
    </xf>
    <xf numFmtId="0" fontId="114" fillId="21" borderId="0" xfId="6" applyFont="1" applyFill="1" applyAlignment="1">
      <alignment horizontal="left" vertical="center" wrapText="1" indent="1"/>
    </xf>
    <xf numFmtId="0" fontId="114" fillId="21" borderId="74" xfId="6" applyFont="1" applyFill="1" applyBorder="1">
      <alignment vertical="center"/>
    </xf>
    <xf numFmtId="0" fontId="113" fillId="21" borderId="59" xfId="12" applyFont="1" applyFill="1" applyBorder="1" applyAlignment="1">
      <alignment horizontal="center" vertical="center" wrapText="1"/>
    </xf>
    <xf numFmtId="0" fontId="113" fillId="21" borderId="69" xfId="12" applyFont="1" applyFill="1" applyBorder="1" applyAlignment="1">
      <alignment horizontal="center" vertical="center" wrapText="1"/>
    </xf>
    <xf numFmtId="0" fontId="126" fillId="21" borderId="0" xfId="3" applyFont="1" applyFill="1">
      <alignment vertical="center"/>
    </xf>
    <xf numFmtId="0" fontId="138" fillId="21" borderId="0" xfId="10" applyFont="1" applyFill="1" applyBorder="1" applyAlignment="1">
      <alignment vertical="center" wrapText="1"/>
    </xf>
    <xf numFmtId="0" fontId="139" fillId="21" borderId="59" xfId="12" applyFont="1" applyFill="1" applyBorder="1" applyAlignment="1">
      <alignment horizontal="center" vertical="center" wrapText="1"/>
    </xf>
    <xf numFmtId="0" fontId="139" fillId="21" borderId="59" xfId="12" applyFont="1" applyFill="1" applyBorder="1" applyAlignment="1">
      <alignment vertical="center" wrapText="1"/>
    </xf>
    <xf numFmtId="0" fontId="5" fillId="0" borderId="0" xfId="0" applyFont="1" applyBorder="1" applyAlignment="1">
      <alignment vertical="center"/>
    </xf>
    <xf numFmtId="4" fontId="5" fillId="0" borderId="1" xfId="4" applyNumberFormat="1" applyFont="1" applyFill="1" applyAlignment="1">
      <alignment horizontal="center" vertical="center" wrapText="1"/>
      <protection locked="0"/>
    </xf>
    <xf numFmtId="0" fontId="110" fillId="0" borderId="0" xfId="13"/>
    <xf numFmtId="0" fontId="114" fillId="21" borderId="59" xfId="0" applyFont="1" applyFill="1" applyBorder="1" applyAlignment="1">
      <alignment horizontal="center" vertical="center" wrapText="1"/>
    </xf>
    <xf numFmtId="0" fontId="10" fillId="0" borderId="0" xfId="0" applyFont="1" applyAlignment="1">
      <alignment vertical="center" wrapText="1"/>
    </xf>
    <xf numFmtId="0" fontId="43" fillId="0" borderId="0" xfId="0" applyFont="1"/>
    <xf numFmtId="164" fontId="0" fillId="5" borderId="1" xfId="1" applyNumberFormat="1" applyFont="1" applyFill="1" applyBorder="1" applyAlignment="1">
      <alignment vertical="center" wrapText="1"/>
    </xf>
    <xf numFmtId="0" fontId="140" fillId="0" borderId="0" xfId="6" applyFont="1" applyAlignment="1">
      <alignment vertical="top"/>
    </xf>
    <xf numFmtId="0" fontId="101" fillId="0" borderId="0" xfId="6" applyFont="1" applyAlignment="1">
      <alignment vertical="top"/>
    </xf>
    <xf numFmtId="0" fontId="101" fillId="0" borderId="0" xfId="6" applyFont="1" applyAlignment="1">
      <alignment vertical="top" wrapText="1"/>
    </xf>
    <xf numFmtId="0" fontId="101" fillId="0" borderId="0" xfId="10" applyFont="1" applyFill="1" applyBorder="1" applyAlignment="1">
      <alignment vertical="top"/>
    </xf>
    <xf numFmtId="0" fontId="140" fillId="12" borderId="0" xfId="6" applyFont="1" applyFill="1" applyAlignment="1">
      <alignment vertical="top"/>
    </xf>
    <xf numFmtId="0" fontId="140" fillId="0" borderId="0" xfId="6" applyFont="1">
      <alignment vertical="center"/>
    </xf>
    <xf numFmtId="0" fontId="140" fillId="12" borderId="0" xfId="6" applyFont="1" applyFill="1">
      <alignment vertical="center"/>
    </xf>
    <xf numFmtId="3" fontId="140" fillId="4" borderId="5" xfId="4" applyFont="1" applyFill="1" applyBorder="1" applyAlignment="1">
      <alignment horizontal="center" vertical="top"/>
      <protection locked="0"/>
    </xf>
    <xf numFmtId="0" fontId="141" fillId="0" borderId="0" xfId="0" applyFont="1"/>
    <xf numFmtId="0" fontId="141" fillId="0" borderId="0" xfId="0" quotePrefix="1" applyFont="1"/>
    <xf numFmtId="0" fontId="142" fillId="23" borderId="1" xfId="0" applyFont="1" applyFill="1" applyBorder="1" applyAlignment="1">
      <alignment horizontal="left" vertical="center" wrapText="1"/>
    </xf>
    <xf numFmtId="0" fontId="101" fillId="23" borderId="1" xfId="0" applyFont="1" applyFill="1" applyBorder="1" applyAlignment="1">
      <alignment horizontal="left" vertical="center" wrapText="1"/>
    </xf>
    <xf numFmtId="0" fontId="140" fillId="0" borderId="0" xfId="0" applyFont="1"/>
    <xf numFmtId="0" fontId="140" fillId="0" borderId="0" xfId="3" applyFont="1">
      <alignment vertical="center"/>
    </xf>
    <xf numFmtId="0" fontId="101" fillId="0" borderId="0" xfId="10" applyFont="1" applyFill="1" applyBorder="1" applyAlignment="1">
      <alignment horizontal="left" vertical="center"/>
    </xf>
    <xf numFmtId="0" fontId="143" fillId="0" borderId="0" xfId="11" applyFont="1" applyFill="1" applyBorder="1" applyAlignment="1"/>
    <xf numFmtId="167" fontId="5" fillId="0" borderId="0" xfId="0" applyNumberFormat="1" applyFont="1"/>
    <xf numFmtId="3" fontId="140" fillId="4" borderId="5" xfId="4" applyFont="1" applyFill="1" applyBorder="1" applyAlignment="1">
      <alignment horizontal="center" vertical="center"/>
      <protection locked="0"/>
    </xf>
    <xf numFmtId="0" fontId="5" fillId="0" borderId="1" xfId="3" applyFont="1" applyBorder="1" applyAlignment="1">
      <alignment horizontal="left" vertical="center" wrapText="1"/>
    </xf>
    <xf numFmtId="10" fontId="5" fillId="0" borderId="5" xfId="2" applyNumberFormat="1" applyFont="1" applyFill="1" applyBorder="1" applyAlignment="1" applyProtection="1">
      <alignment horizontal="right" vertical="center" wrapText="1"/>
      <protection locked="0"/>
    </xf>
    <xf numFmtId="0" fontId="9" fillId="0" borderId="1" xfId="0" applyFont="1" applyBorder="1" applyAlignment="1">
      <alignment horizontal="center" vertical="center"/>
    </xf>
    <xf numFmtId="0" fontId="9" fillId="0" borderId="1" xfId="0" applyFont="1" applyBorder="1" applyAlignment="1">
      <alignment horizontal="left" vertical="center" wrapText="1" indent="1"/>
    </xf>
    <xf numFmtId="0" fontId="9" fillId="23" borderId="1" xfId="0" applyFont="1" applyFill="1" applyBorder="1" applyAlignment="1">
      <alignment horizontal="center" vertical="center"/>
    </xf>
    <xf numFmtId="0" fontId="9" fillId="23" borderId="1" xfId="0" applyFont="1" applyFill="1" applyBorder="1" applyAlignment="1">
      <alignment horizontal="left" vertical="center" wrapText="1" indent="1"/>
    </xf>
    <xf numFmtId="0" fontId="7" fillId="0" borderId="1" xfId="0" applyFont="1" applyBorder="1" applyAlignment="1">
      <alignment horizontal="left" vertical="center" wrapText="1" indent="1"/>
    </xf>
    <xf numFmtId="0" fontId="7" fillId="0" borderId="1" xfId="0" applyFont="1" applyBorder="1" applyAlignment="1">
      <alignment horizontal="center" vertical="center"/>
    </xf>
    <xf numFmtId="0" fontId="30" fillId="23" borderId="1" xfId="0" applyFont="1" applyFill="1" applyBorder="1" applyAlignment="1">
      <alignment horizontal="center" vertical="center" wrapText="1"/>
    </xf>
    <xf numFmtId="0" fontId="9" fillId="0" borderId="1" xfId="0" applyFont="1" applyBorder="1" applyAlignment="1">
      <alignment horizontal="left" vertical="center" wrapText="1" indent="3"/>
    </xf>
    <xf numFmtId="0" fontId="30" fillId="4" borderId="10" xfId="0" applyFont="1" applyFill="1" applyBorder="1" applyAlignment="1">
      <alignment horizontal="left" vertical="center" wrapText="1"/>
    </xf>
    <xf numFmtId="0" fontId="30" fillId="4" borderId="1" xfId="0" applyFont="1" applyFill="1" applyBorder="1" applyAlignment="1">
      <alignment horizontal="left" vertical="center" wrapText="1"/>
    </xf>
    <xf numFmtId="0" fontId="7" fillId="0" borderId="7" xfId="0" applyFont="1" applyBorder="1" applyAlignment="1">
      <alignment horizontal="left" vertical="center" wrapText="1" indent="1"/>
    </xf>
    <xf numFmtId="0" fontId="144" fillId="23" borderId="9" xfId="0" applyFont="1" applyFill="1" applyBorder="1" applyAlignment="1">
      <alignment horizontal="left" vertical="center" wrapText="1"/>
    </xf>
    <xf numFmtId="0" fontId="144" fillId="23" borderId="1" xfId="0" applyFont="1" applyFill="1" applyBorder="1" applyAlignment="1">
      <alignment horizontal="left" vertical="center" wrapText="1"/>
    </xf>
    <xf numFmtId="0" fontId="7" fillId="0" borderId="1" xfId="0" applyFont="1" applyBorder="1" applyAlignment="1">
      <alignment horizontal="left" vertical="center" wrapText="1" indent="3"/>
    </xf>
    <xf numFmtId="0" fontId="9" fillId="7" borderId="1" xfId="0" applyFont="1" applyFill="1" applyBorder="1" applyAlignment="1">
      <alignment horizontal="left" vertical="center" wrapText="1" indent="3"/>
    </xf>
    <xf numFmtId="0" fontId="7" fillId="0" borderId="1" xfId="3" quotePrefix="1" applyFont="1" applyBorder="1" applyAlignment="1">
      <alignment horizontal="center" vertical="center"/>
    </xf>
    <xf numFmtId="0" fontId="7" fillId="0" borderId="1" xfId="3" applyFont="1" applyBorder="1" applyAlignment="1">
      <alignment horizontal="left" vertical="center" wrapText="1" indent="1"/>
    </xf>
    <xf numFmtId="0" fontId="114" fillId="21" borderId="59" xfId="0" applyFont="1" applyFill="1" applyBorder="1" applyAlignment="1">
      <alignment horizontal="center" vertical="center" wrapText="1"/>
    </xf>
    <xf numFmtId="164" fontId="0" fillId="5" borderId="1" xfId="1" applyNumberFormat="1" applyFont="1" applyFill="1" applyBorder="1" applyAlignment="1">
      <alignment vertical="center" wrapText="1"/>
    </xf>
    <xf numFmtId="164" fontId="1" fillId="0" borderId="5" xfId="1" applyNumberFormat="1" applyFont="1" applyBorder="1" applyAlignment="1">
      <alignment vertical="center"/>
    </xf>
    <xf numFmtId="164" fontId="1" fillId="0" borderId="5" xfId="1" applyNumberFormat="1" applyFont="1" applyBorder="1" applyAlignment="1">
      <alignment vertical="center" wrapText="1"/>
    </xf>
    <xf numFmtId="164" fontId="1" fillId="6" borderId="5" xfId="1" applyNumberFormat="1" applyFont="1" applyFill="1" applyBorder="1" applyAlignment="1">
      <alignment vertical="center" wrapText="1"/>
    </xf>
    <xf numFmtId="164" fontId="1" fillId="0" borderId="1" xfId="1" applyNumberFormat="1" applyFont="1" applyBorder="1" applyAlignment="1">
      <alignment vertical="center"/>
    </xf>
    <xf numFmtId="164" fontId="1" fillId="5" borderId="1" xfId="1" applyNumberFormat="1" applyFont="1" applyFill="1" applyBorder="1" applyAlignment="1">
      <alignment vertical="center"/>
    </xf>
    <xf numFmtId="1" fontId="0" fillId="0" borderId="1" xfId="0" applyNumberFormat="1" applyBorder="1" applyAlignment="1">
      <alignment horizontal="center" vertical="center"/>
    </xf>
    <xf numFmtId="164" fontId="5" fillId="0" borderId="1" xfId="0" applyNumberFormat="1" applyFont="1" applyBorder="1" applyAlignment="1">
      <alignment vertical="center" wrapText="1"/>
    </xf>
    <xf numFmtId="164" fontId="0" fillId="5" borderId="1" xfId="1" applyNumberFormat="1" applyFont="1" applyFill="1" applyBorder="1" applyAlignment="1">
      <alignment vertical="center" wrapText="1"/>
    </xf>
    <xf numFmtId="164" fontId="0" fillId="0" borderId="0" xfId="1" applyNumberFormat="1" applyFont="1" applyFill="1" applyBorder="1" applyAlignment="1">
      <alignment wrapText="1"/>
    </xf>
    <xf numFmtId="164" fontId="0" fillId="0" borderId="0" xfId="1" quotePrefix="1" applyNumberFormat="1" applyFont="1" applyFill="1" applyBorder="1" applyAlignment="1">
      <alignment wrapText="1"/>
    </xf>
    <xf numFmtId="164" fontId="0" fillId="0" borderId="13" xfId="1" applyNumberFormat="1" applyFont="1" applyFill="1" applyBorder="1" applyAlignment="1">
      <alignment wrapText="1"/>
    </xf>
    <xf numFmtId="164" fontId="0" fillId="0" borderId="10" xfId="1" applyNumberFormat="1" applyFont="1" applyFill="1" applyBorder="1" applyAlignment="1">
      <alignment wrapText="1"/>
    </xf>
    <xf numFmtId="164" fontId="0" fillId="0" borderId="14" xfId="1" applyNumberFormat="1" applyFont="1" applyFill="1" applyBorder="1" applyAlignment="1">
      <alignment wrapText="1"/>
    </xf>
    <xf numFmtId="164" fontId="0" fillId="0" borderId="34" xfId="1" applyNumberFormat="1" applyFont="1" applyFill="1" applyBorder="1" applyAlignment="1">
      <alignment wrapText="1"/>
    </xf>
    <xf numFmtId="0" fontId="132" fillId="0" borderId="0" xfId="0" applyFont="1" applyAlignment="1">
      <alignment horizontal="left" vertical="top" wrapText="1"/>
    </xf>
    <xf numFmtId="0" fontId="132" fillId="0" borderId="0" xfId="0" applyFont="1" applyAlignment="1">
      <alignment vertical="top" wrapText="1"/>
    </xf>
    <xf numFmtId="0" fontId="0" fillId="0" borderId="0" xfId="0" applyAlignment="1">
      <alignment vertical="top" wrapText="1"/>
    </xf>
    <xf numFmtId="0" fontId="43" fillId="0" borderId="0" xfId="0" applyFont="1" applyAlignment="1">
      <alignment horizontal="left" vertical="top" wrapText="1"/>
    </xf>
    <xf numFmtId="0" fontId="43" fillId="0" borderId="0" xfId="0" applyFont="1" applyAlignment="1">
      <alignment vertical="top" wrapText="1"/>
    </xf>
    <xf numFmtId="0" fontId="132" fillId="0" borderId="0" xfId="0" applyFont="1" applyAlignment="1">
      <alignment vertical="center" wrapText="1"/>
    </xf>
    <xf numFmtId="0" fontId="43" fillId="0" borderId="0" xfId="0" applyFont="1" applyAlignment="1">
      <alignment wrapText="1"/>
    </xf>
    <xf numFmtId="0" fontId="114" fillId="21" borderId="67" xfId="0" applyFont="1" applyFill="1" applyBorder="1" applyAlignment="1">
      <alignment horizontal="center" vertical="center" wrapText="1"/>
    </xf>
    <xf numFmtId="0" fontId="114" fillId="21" borderId="68" xfId="0" applyFont="1" applyFill="1" applyBorder="1" applyAlignment="1">
      <alignment horizontal="center" vertical="center" wrapText="1"/>
    </xf>
    <xf numFmtId="0" fontId="114" fillId="21" borderId="0" xfId="0" applyFont="1" applyFill="1" applyAlignment="1">
      <alignment horizontal="center" vertical="center" wrapText="1"/>
    </xf>
    <xf numFmtId="0" fontId="114" fillId="21" borderId="0" xfId="0" applyFont="1" applyFill="1" applyBorder="1" applyAlignment="1">
      <alignment horizontal="center" vertical="center" wrapText="1"/>
    </xf>
    <xf numFmtId="0" fontId="114" fillId="21" borderId="3" xfId="0" applyFont="1" applyFill="1" applyBorder="1" applyAlignment="1">
      <alignment horizontal="center" vertical="center" wrapText="1"/>
    </xf>
    <xf numFmtId="0" fontId="114" fillId="21" borderId="0" xfId="0" applyFont="1" applyFill="1" applyAlignment="1">
      <alignment horizontal="left" vertical="center" wrapText="1"/>
    </xf>
    <xf numFmtId="0" fontId="114" fillId="21" borderId="3" xfId="0" applyFont="1" applyFill="1" applyBorder="1" applyAlignment="1">
      <alignment horizontal="left" vertical="center" wrapText="1"/>
    </xf>
    <xf numFmtId="0" fontId="11" fillId="3" borderId="7" xfId="0" applyFont="1" applyFill="1" applyBorder="1" applyAlignment="1">
      <alignment horizontal="left" vertical="center" wrapText="1"/>
    </xf>
    <xf numFmtId="0" fontId="11" fillId="3" borderId="6" xfId="0" applyFont="1" applyFill="1" applyBorder="1" applyAlignment="1">
      <alignment horizontal="left" vertical="center" wrapText="1"/>
    </xf>
    <xf numFmtId="0" fontId="11" fillId="3" borderId="5"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2" xfId="0" applyFont="1" applyFill="1" applyBorder="1" applyAlignment="1">
      <alignment horizontal="left" vertical="center" wrapText="1"/>
    </xf>
    <xf numFmtId="0" fontId="11" fillId="4" borderId="7" xfId="0" applyFont="1" applyFill="1" applyBorder="1" applyAlignment="1">
      <alignment horizontal="left" vertical="center" wrapText="1"/>
    </xf>
    <xf numFmtId="0" fontId="11" fillId="4" borderId="6" xfId="0" applyFont="1" applyFill="1" applyBorder="1" applyAlignment="1">
      <alignment horizontal="left" vertical="center" wrapText="1"/>
    </xf>
    <xf numFmtId="0" fontId="11" fillId="4" borderId="5" xfId="0" applyFont="1" applyFill="1" applyBorder="1" applyAlignment="1">
      <alignment horizontal="left" vertical="center" wrapText="1"/>
    </xf>
    <xf numFmtId="0" fontId="6" fillId="4" borderId="7" xfId="0" applyFont="1" applyFill="1" applyBorder="1" applyAlignment="1">
      <alignment horizontal="left" vertical="center" wrapText="1"/>
    </xf>
    <xf numFmtId="0" fontId="6" fillId="4" borderId="6" xfId="0" applyFont="1" applyFill="1" applyBorder="1" applyAlignment="1">
      <alignment horizontal="left" vertical="center" wrapText="1"/>
    </xf>
    <xf numFmtId="0" fontId="6" fillId="4" borderId="5" xfId="0" applyFont="1" applyFill="1" applyBorder="1" applyAlignment="1">
      <alignment horizontal="left" vertical="center" wrapText="1"/>
    </xf>
    <xf numFmtId="0" fontId="17" fillId="0" borderId="0" xfId="0" applyFont="1" applyAlignment="1">
      <alignment horizontal="justify" vertical="center" wrapText="1"/>
    </xf>
    <xf numFmtId="0" fontId="16" fillId="0" borderId="0" xfId="0" applyFont="1" applyAlignment="1">
      <alignment horizontal="justify" vertical="center" wrapText="1"/>
    </xf>
    <xf numFmtId="0" fontId="14" fillId="0" borderId="0" xfId="0" applyFont="1" applyAlignment="1">
      <alignment horizontal="justify" vertical="center" wrapText="1"/>
    </xf>
    <xf numFmtId="0" fontId="114" fillId="21" borderId="55" xfId="0" applyFont="1" applyFill="1" applyBorder="1" applyAlignment="1">
      <alignment horizontal="center" vertical="center" wrapText="1"/>
    </xf>
    <xf numFmtId="0" fontId="114" fillId="21" borderId="57" xfId="0" applyFont="1" applyFill="1" applyBorder="1" applyAlignment="1">
      <alignment horizontal="center" vertical="center" wrapText="1"/>
    </xf>
    <xf numFmtId="0" fontId="114" fillId="21" borderId="56" xfId="0" applyFont="1" applyFill="1" applyBorder="1" applyAlignment="1">
      <alignment horizontal="center" vertical="center" wrapText="1"/>
    </xf>
    <xf numFmtId="0" fontId="114" fillId="21" borderId="58" xfId="0" applyFont="1" applyFill="1" applyBorder="1" applyAlignment="1">
      <alignment horizontal="center" vertical="center" wrapText="1"/>
    </xf>
    <xf numFmtId="0" fontId="114" fillId="21" borderId="51" xfId="0" applyFont="1" applyFill="1" applyBorder="1" applyAlignment="1">
      <alignment horizontal="center" vertical="center" wrapText="1"/>
    </xf>
    <xf numFmtId="0" fontId="114" fillId="21" borderId="52" xfId="0" applyFont="1" applyFill="1" applyBorder="1" applyAlignment="1">
      <alignment horizontal="center" vertical="center" wrapText="1"/>
    </xf>
    <xf numFmtId="0" fontId="114" fillId="21" borderId="53" xfId="0" applyFont="1" applyFill="1" applyBorder="1" applyAlignment="1">
      <alignment horizontal="center" vertical="center" wrapText="1"/>
    </xf>
    <xf numFmtId="0" fontId="3" fillId="0" borderId="0" xfId="0" applyFont="1" applyAlignment="1">
      <alignment horizontal="justify" vertical="center" wrapText="1"/>
    </xf>
    <xf numFmtId="0" fontId="0" fillId="0" borderId="0" xfId="0" applyAlignment="1">
      <alignment horizontal="justify" vertical="center" wrapText="1"/>
    </xf>
    <xf numFmtId="0" fontId="15" fillId="0" borderId="0" xfId="0" applyFont="1" applyAlignment="1">
      <alignment horizontal="justify" vertical="center" wrapText="1"/>
    </xf>
    <xf numFmtId="0" fontId="115" fillId="22" borderId="62" xfId="0" applyFont="1" applyFill="1" applyBorder="1" applyAlignment="1">
      <alignment horizontal="center" vertical="center" wrapText="1"/>
    </xf>
    <xf numFmtId="0" fontId="115" fillId="22" borderId="61" xfId="0" applyFont="1" applyFill="1" applyBorder="1" applyAlignment="1">
      <alignment horizontal="center" vertical="center" wrapText="1"/>
    </xf>
    <xf numFmtId="0" fontId="115" fillId="22" borderId="59" xfId="0" applyFont="1" applyFill="1" applyBorder="1" applyAlignment="1">
      <alignment horizontal="center" vertical="center" wrapText="1"/>
    </xf>
    <xf numFmtId="0" fontId="114" fillId="21" borderId="0" xfId="0" applyFont="1" applyFill="1" applyAlignment="1">
      <alignment horizontal="left" vertical="center"/>
    </xf>
    <xf numFmtId="0" fontId="114" fillId="21" borderId="63" xfId="0" applyFont="1" applyFill="1" applyBorder="1" applyAlignment="1">
      <alignment horizontal="left" vertical="center"/>
    </xf>
    <xf numFmtId="0" fontId="114" fillId="21" borderId="3" xfId="0" applyFont="1" applyFill="1" applyBorder="1" applyAlignment="1">
      <alignment horizontal="left" vertical="center"/>
    </xf>
    <xf numFmtId="0" fontId="114" fillId="21" borderId="64" xfId="0" applyFont="1" applyFill="1" applyBorder="1" applyAlignment="1">
      <alignment horizontal="left" vertical="center"/>
    </xf>
    <xf numFmtId="0" fontId="114" fillId="21" borderId="59" xfId="0" applyFont="1" applyFill="1" applyBorder="1" applyAlignment="1">
      <alignment horizontal="center" vertical="center"/>
    </xf>
    <xf numFmtId="0" fontId="114" fillId="21" borderId="59" xfId="0" applyFont="1" applyFill="1" applyBorder="1" applyAlignment="1">
      <alignment horizontal="center" vertical="center" wrapText="1"/>
    </xf>
    <xf numFmtId="0" fontId="6" fillId="4" borderId="7"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5" xfId="0" applyFont="1" applyFill="1" applyBorder="1" applyAlignment="1">
      <alignment horizontal="center" vertical="center"/>
    </xf>
    <xf numFmtId="0" fontId="51" fillId="4" borderId="7" xfId="0" applyFont="1" applyFill="1" applyBorder="1" applyAlignment="1">
      <alignment horizontal="center" vertical="center"/>
    </xf>
    <xf numFmtId="0" fontId="51" fillId="4" borderId="6" xfId="0" applyFont="1" applyFill="1" applyBorder="1" applyAlignment="1">
      <alignment horizontal="center" vertical="center"/>
    </xf>
    <xf numFmtId="0" fontId="51" fillId="4" borderId="5" xfId="0" applyFont="1" applyFill="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9" xfId="0" applyFont="1" applyBorder="1" applyAlignment="1">
      <alignment horizontal="left" vertical="center" wrapText="1"/>
    </xf>
    <xf numFmtId="164" fontId="5" fillId="0" borderId="10" xfId="1" applyNumberFormat="1" applyFont="1" applyFill="1" applyBorder="1" applyAlignment="1">
      <alignment horizontal="center" vertical="center" wrapText="1"/>
    </xf>
    <xf numFmtId="164" fontId="5" fillId="0" borderId="11" xfId="1" applyNumberFormat="1" applyFont="1" applyFill="1" applyBorder="1" applyAlignment="1">
      <alignment horizontal="center" vertical="center" wrapText="1"/>
    </xf>
    <xf numFmtId="164" fontId="5" fillId="0" borderId="9" xfId="1" applyNumberFormat="1" applyFont="1" applyFill="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9" xfId="0" applyFont="1" applyBorder="1" applyAlignment="1">
      <alignment horizontal="center" vertical="center" wrapText="1"/>
    </xf>
    <xf numFmtId="0" fontId="6" fillId="4" borderId="15"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10" fillId="0" borderId="0" xfId="0" applyFont="1" applyAlignment="1">
      <alignment vertical="center" wrapText="1"/>
    </xf>
    <xf numFmtId="0" fontId="11" fillId="6" borderId="7"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3" fillId="21" borderId="0" xfId="0" applyFont="1" applyFill="1" applyAlignment="1">
      <alignment horizontal="left" vertical="center" wrapText="1"/>
    </xf>
    <xf numFmtId="0" fontId="113" fillId="21" borderId="63" xfId="0" applyFont="1" applyFill="1" applyBorder="1" applyAlignment="1">
      <alignment horizontal="left" vertical="center" wrapText="1"/>
    </xf>
    <xf numFmtId="0" fontId="113" fillId="21" borderId="3" xfId="0" applyFont="1" applyFill="1" applyBorder="1" applyAlignment="1">
      <alignment horizontal="left" vertical="center" wrapText="1"/>
    </xf>
    <xf numFmtId="0" fontId="113" fillId="21" borderId="64" xfId="0" applyFont="1" applyFill="1" applyBorder="1" applyAlignment="1">
      <alignment horizontal="left" vertical="center" wrapText="1"/>
    </xf>
    <xf numFmtId="0" fontId="6" fillId="13" borderId="7" xfId="0" applyFont="1" applyFill="1" applyBorder="1" applyAlignment="1">
      <alignment horizontal="center" vertical="center" wrapText="1"/>
    </xf>
    <xf numFmtId="0" fontId="6" fillId="13" borderId="6"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3" fillId="13" borderId="7" xfId="0" applyFont="1" applyFill="1" applyBorder="1" applyAlignment="1">
      <alignment horizontal="center" vertical="center" wrapText="1"/>
    </xf>
    <xf numFmtId="0" fontId="3" fillId="13" borderId="6" xfId="0" applyFont="1" applyFill="1" applyBorder="1" applyAlignment="1">
      <alignment horizontal="center" vertical="center" wrapText="1"/>
    </xf>
    <xf numFmtId="0" fontId="3" fillId="13" borderId="5" xfId="0" applyFont="1" applyFill="1" applyBorder="1" applyAlignment="1">
      <alignment horizontal="center" vertical="center" wrapText="1"/>
    </xf>
    <xf numFmtId="0" fontId="3" fillId="13" borderId="7" xfId="0" applyFont="1" applyFill="1" applyBorder="1" applyAlignment="1">
      <alignment horizontal="center"/>
    </xf>
    <xf numFmtId="0" fontId="3" fillId="13" borderId="6" xfId="0" applyFont="1" applyFill="1" applyBorder="1" applyAlignment="1">
      <alignment horizontal="center"/>
    </xf>
    <xf numFmtId="0" fontId="3" fillId="13" borderId="5" xfId="0" applyFont="1" applyFill="1" applyBorder="1" applyAlignment="1">
      <alignment horizontal="center"/>
    </xf>
    <xf numFmtId="164" fontId="113" fillId="21" borderId="59" xfId="1" applyNumberFormat="1" applyFont="1" applyFill="1" applyBorder="1" applyAlignment="1">
      <alignment horizontal="center" wrapText="1"/>
    </xf>
    <xf numFmtId="0" fontId="114" fillId="21" borderId="84" xfId="0" applyFont="1" applyFill="1" applyBorder="1" applyAlignment="1">
      <alignment horizontal="center"/>
    </xf>
    <xf numFmtId="0" fontId="114" fillId="21" borderId="77" xfId="0" applyFont="1" applyFill="1" applyBorder="1" applyAlignment="1">
      <alignment horizontal="center"/>
    </xf>
    <xf numFmtId="0" fontId="3" fillId="13" borderId="15" xfId="0" applyFont="1" applyFill="1" applyBorder="1" applyAlignment="1">
      <alignment horizontal="center"/>
    </xf>
    <xf numFmtId="0" fontId="3" fillId="13" borderId="3" xfId="0" applyFont="1" applyFill="1" applyBorder="1" applyAlignment="1">
      <alignment horizontal="center"/>
    </xf>
    <xf numFmtId="0" fontId="3" fillId="13" borderId="2" xfId="0" applyFont="1" applyFill="1" applyBorder="1" applyAlignment="1">
      <alignment horizontal="center"/>
    </xf>
    <xf numFmtId="0" fontId="6" fillId="13" borderId="7" xfId="0" applyFont="1" applyFill="1" applyBorder="1" applyAlignment="1">
      <alignment horizontal="center"/>
    </xf>
    <xf numFmtId="0" fontId="6" fillId="13" borderId="6" xfId="0" applyFont="1" applyFill="1" applyBorder="1" applyAlignment="1">
      <alignment horizontal="center"/>
    </xf>
    <xf numFmtId="0" fontId="6" fillId="13" borderId="5" xfId="0" applyFont="1" applyFill="1" applyBorder="1" applyAlignment="1">
      <alignment horizontal="center"/>
    </xf>
    <xf numFmtId="0" fontId="0" fillId="4" borderId="7" xfId="0" applyFill="1" applyBorder="1" applyAlignment="1">
      <alignment horizontal="left"/>
    </xf>
    <xf numFmtId="0" fontId="0" fillId="4" borderId="6" xfId="0" applyFill="1" applyBorder="1" applyAlignment="1">
      <alignment horizontal="left"/>
    </xf>
    <xf numFmtId="0" fontId="0" fillId="4" borderId="5" xfId="0" applyFill="1" applyBorder="1" applyAlignment="1">
      <alignment horizontal="left"/>
    </xf>
    <xf numFmtId="164" fontId="10" fillId="4" borderId="16" xfId="1" applyNumberFormat="1" applyFont="1" applyFill="1" applyBorder="1" applyAlignment="1">
      <alignment horizontal="center" vertical="center"/>
    </xf>
    <xf numFmtId="164" fontId="0" fillId="5" borderId="1" xfId="1" applyNumberFormat="1" applyFont="1" applyFill="1" applyBorder="1" applyAlignment="1">
      <alignment vertical="center" wrapText="1"/>
    </xf>
    <xf numFmtId="0" fontId="10" fillId="5" borderId="1" xfId="0" applyFont="1" applyFill="1" applyBorder="1" applyAlignment="1">
      <alignment horizontal="center" vertical="center" wrapText="1"/>
    </xf>
    <xf numFmtId="0" fontId="35" fillId="5" borderId="1" xfId="0" applyFont="1" applyFill="1" applyBorder="1" applyAlignment="1">
      <alignment vertical="center" wrapText="1"/>
    </xf>
    <xf numFmtId="0" fontId="10" fillId="5" borderId="1" xfId="0" applyFont="1" applyFill="1" applyBorder="1" applyAlignment="1">
      <alignment vertical="center" wrapText="1"/>
    </xf>
    <xf numFmtId="164" fontId="0" fillId="4" borderId="16" xfId="1" applyNumberFormat="1" applyFont="1" applyFill="1" applyBorder="1" applyAlignment="1">
      <alignment vertical="center" wrapText="1"/>
    </xf>
    <xf numFmtId="0" fontId="10" fillId="14" borderId="1" xfId="0" applyFont="1" applyFill="1" applyBorder="1" applyAlignment="1">
      <alignment vertical="center" wrapText="1"/>
    </xf>
    <xf numFmtId="164" fontId="41" fillId="4" borderId="16" xfId="1" applyNumberFormat="1" applyFont="1" applyFill="1" applyBorder="1" applyAlignment="1">
      <alignment vertical="center" wrapText="1"/>
    </xf>
    <xf numFmtId="0" fontId="10" fillId="14" borderId="15" xfId="0" applyFont="1" applyFill="1" applyBorder="1" applyAlignment="1">
      <alignment horizontal="left" vertical="center" wrapText="1"/>
    </xf>
    <xf numFmtId="0" fontId="10" fillId="14" borderId="3" xfId="0" applyFont="1" applyFill="1" applyBorder="1" applyAlignment="1">
      <alignment horizontal="left" vertical="center" wrapText="1"/>
    </xf>
    <xf numFmtId="0" fontId="10" fillId="14" borderId="2" xfId="0" applyFont="1" applyFill="1" applyBorder="1" applyAlignment="1">
      <alignment horizontal="left" vertical="center" wrapText="1"/>
    </xf>
    <xf numFmtId="0" fontId="0" fillId="4" borderId="16" xfId="0" applyFill="1" applyBorder="1" applyAlignment="1">
      <alignment vertical="center" wrapText="1"/>
    </xf>
    <xf numFmtId="0" fontId="10" fillId="14" borderId="7" xfId="0" applyFont="1" applyFill="1" applyBorder="1" applyAlignment="1">
      <alignment horizontal="left" vertical="center" wrapText="1"/>
    </xf>
    <xf numFmtId="0" fontId="10" fillId="14" borderId="6" xfId="0" applyFont="1" applyFill="1" applyBorder="1" applyAlignment="1">
      <alignment horizontal="left" vertical="center" wrapText="1"/>
    </xf>
    <xf numFmtId="0" fontId="10" fillId="14" borderId="5" xfId="0" applyFont="1" applyFill="1" applyBorder="1" applyAlignment="1">
      <alignment horizontal="left" vertical="center" wrapText="1"/>
    </xf>
    <xf numFmtId="6" fontId="114" fillId="21" borderId="0" xfId="0" applyNumberFormat="1" applyFont="1" applyFill="1" applyBorder="1" applyAlignment="1">
      <alignment horizontal="left" vertical="center"/>
    </xf>
    <xf numFmtId="6" fontId="114" fillId="21" borderId="63" xfId="0" applyNumberFormat="1" applyFont="1" applyFill="1" applyBorder="1" applyAlignment="1">
      <alignment horizontal="left" vertical="center"/>
    </xf>
    <xf numFmtId="6" fontId="114" fillId="21" borderId="69" xfId="0" applyNumberFormat="1" applyFont="1" applyFill="1" applyBorder="1" applyAlignment="1">
      <alignment horizontal="left" vertical="center"/>
    </xf>
    <xf numFmtId="6" fontId="114" fillId="21" borderId="70" xfId="0" applyNumberFormat="1" applyFont="1" applyFill="1" applyBorder="1" applyAlignment="1">
      <alignment horizontal="left" vertical="center"/>
    </xf>
    <xf numFmtId="0" fontId="114" fillId="21" borderId="76" xfId="0" applyFont="1" applyFill="1" applyBorder="1" applyAlignment="1">
      <alignment horizontal="center" vertical="center"/>
    </xf>
    <xf numFmtId="0" fontId="114" fillId="21" borderId="77" xfId="0" applyFont="1" applyFill="1" applyBorder="1" applyAlignment="1">
      <alignment horizontal="center" vertical="center"/>
    </xf>
    <xf numFmtId="0" fontId="3" fillId="13" borderId="7" xfId="0" applyFont="1" applyFill="1" applyBorder="1" applyAlignment="1">
      <alignment horizontal="left" vertical="center"/>
    </xf>
    <xf numFmtId="0" fontId="3" fillId="13" borderId="6" xfId="0" applyFont="1" applyFill="1" applyBorder="1" applyAlignment="1">
      <alignment horizontal="left" vertical="center"/>
    </xf>
    <xf numFmtId="0" fontId="3" fillId="13" borderId="5" xfId="0" applyFont="1" applyFill="1" applyBorder="1" applyAlignment="1">
      <alignment horizontal="left" vertical="center"/>
    </xf>
    <xf numFmtId="0" fontId="114" fillId="21" borderId="106" xfId="0" applyFont="1" applyFill="1" applyBorder="1" applyAlignment="1">
      <alignment horizontal="center" vertical="center" wrapText="1"/>
    </xf>
    <xf numFmtId="0" fontId="114" fillId="21" borderId="107" xfId="0" applyFont="1" applyFill="1" applyBorder="1" applyAlignment="1">
      <alignment horizontal="center" vertical="center" wrapText="1"/>
    </xf>
    <xf numFmtId="0" fontId="114" fillId="21" borderId="108" xfId="0" applyFont="1" applyFill="1" applyBorder="1" applyAlignment="1">
      <alignment horizontal="left" vertical="center" wrapText="1"/>
    </xf>
    <xf numFmtId="0" fontId="114" fillId="21" borderId="109" xfId="0" applyFont="1" applyFill="1" applyBorder="1" applyAlignment="1">
      <alignment horizontal="left" vertical="center" wrapText="1"/>
    </xf>
    <xf numFmtId="0" fontId="114" fillId="21" borderId="110" xfId="0" applyFont="1" applyFill="1" applyBorder="1" applyAlignment="1">
      <alignment horizontal="left" vertical="center" wrapText="1"/>
    </xf>
    <xf numFmtId="0" fontId="114" fillId="21" borderId="111" xfId="0" applyFont="1" applyFill="1" applyBorder="1" applyAlignment="1">
      <alignment horizontal="left" vertical="center" wrapText="1"/>
    </xf>
    <xf numFmtId="0" fontId="114" fillId="21" borderId="66" xfId="0" applyFont="1" applyFill="1" applyBorder="1" applyAlignment="1">
      <alignment horizontal="center" vertical="center" wrapText="1"/>
    </xf>
    <xf numFmtId="0" fontId="114" fillId="21" borderId="75" xfId="0" applyFont="1" applyFill="1" applyBorder="1" applyAlignment="1">
      <alignment horizontal="center" vertical="center" wrapText="1"/>
    </xf>
    <xf numFmtId="0" fontId="114" fillId="21" borderId="65" xfId="0" applyFont="1" applyFill="1" applyBorder="1" applyAlignment="1">
      <alignment horizontal="center" vertical="center" wrapText="1"/>
    </xf>
    <xf numFmtId="0" fontId="116" fillId="21" borderId="0" xfId="0" applyFont="1" applyFill="1" applyAlignment="1">
      <alignment horizontal="left" vertical="center" wrapText="1"/>
    </xf>
    <xf numFmtId="0" fontId="116" fillId="21" borderId="80" xfId="0" applyFont="1" applyFill="1" applyBorder="1" applyAlignment="1">
      <alignment horizontal="left" vertical="center" wrapText="1"/>
    </xf>
    <xf numFmtId="0" fontId="119" fillId="21" borderId="78" xfId="0" applyFont="1" applyFill="1" applyBorder="1" applyAlignment="1">
      <alignment horizontal="center" vertical="center" wrapText="1"/>
    </xf>
    <xf numFmtId="0" fontId="119" fillId="21" borderId="79" xfId="0" applyFont="1" applyFill="1" applyBorder="1" applyAlignment="1">
      <alignment horizontal="center" vertical="center" wrapText="1"/>
    </xf>
    <xf numFmtId="0" fontId="114" fillId="21" borderId="59" xfId="0" applyFont="1" applyFill="1" applyBorder="1" applyAlignment="1">
      <alignment horizontal="center"/>
    </xf>
    <xf numFmtId="0" fontId="114" fillId="21" borderId="64" xfId="0" applyFont="1" applyFill="1" applyBorder="1" applyAlignment="1">
      <alignment horizontal="left" vertical="center" wrapText="1"/>
    </xf>
    <xf numFmtId="0" fontId="117" fillId="21" borderId="59" xfId="0" applyFont="1" applyFill="1" applyBorder="1" applyAlignment="1">
      <alignment horizontal="center" vertical="center" wrapText="1"/>
    </xf>
    <xf numFmtId="0" fontId="117" fillId="21" borderId="76" xfId="0" applyFont="1" applyFill="1" applyBorder="1" applyAlignment="1">
      <alignment horizontal="center" vertical="center" wrapText="1"/>
    </xf>
    <xf numFmtId="0" fontId="117" fillId="21" borderId="84" xfId="0" applyFont="1" applyFill="1" applyBorder="1" applyAlignment="1">
      <alignment horizontal="center" vertical="center" wrapText="1"/>
    </xf>
    <xf numFmtId="0" fontId="117" fillId="21" borderId="0" xfId="0" applyFont="1" applyFill="1" applyBorder="1" applyAlignment="1">
      <alignment horizontal="center" vertical="center" wrapText="1"/>
    </xf>
    <xf numFmtId="0" fontId="117" fillId="21" borderId="83" xfId="0" applyFont="1" applyFill="1" applyBorder="1" applyAlignment="1">
      <alignment horizontal="center" vertical="center" wrapText="1"/>
    </xf>
    <xf numFmtId="0" fontId="117" fillId="21" borderId="86" xfId="0" applyFont="1" applyFill="1" applyBorder="1" applyAlignment="1">
      <alignment horizontal="center" vertical="center" wrapText="1"/>
    </xf>
    <xf numFmtId="0" fontId="43" fillId="21" borderId="0" xfId="0" applyFont="1" applyFill="1" applyAlignment="1">
      <alignment vertical="center" wrapText="1"/>
    </xf>
    <xf numFmtId="0" fontId="43" fillId="21" borderId="0" xfId="0" applyFont="1" applyFill="1" applyBorder="1" applyAlignment="1">
      <alignment vertical="center" wrapText="1"/>
    </xf>
    <xf numFmtId="0" fontId="117" fillId="21" borderId="90" xfId="0" applyFont="1" applyFill="1" applyBorder="1" applyAlignment="1">
      <alignment horizontal="center" vertical="center" wrapText="1"/>
    </xf>
    <xf numFmtId="0" fontId="117" fillId="21" borderId="62" xfId="0" applyFont="1" applyFill="1" applyBorder="1" applyAlignment="1">
      <alignment horizontal="center" vertical="center" wrapText="1"/>
    </xf>
    <xf numFmtId="0" fontId="117" fillId="21" borderId="66" xfId="0" applyFont="1" applyFill="1" applyBorder="1" applyAlignment="1">
      <alignment horizontal="center" vertical="center" wrapText="1"/>
    </xf>
    <xf numFmtId="0" fontId="117" fillId="21" borderId="75" xfId="0" applyFont="1" applyFill="1" applyBorder="1" applyAlignment="1">
      <alignment horizontal="center" vertical="center" wrapText="1"/>
    </xf>
    <xf numFmtId="0" fontId="117" fillId="21" borderId="65" xfId="0" applyFont="1" applyFill="1" applyBorder="1" applyAlignment="1">
      <alignment horizontal="center" vertical="center" wrapText="1"/>
    </xf>
    <xf numFmtId="0" fontId="117" fillId="21" borderId="72" xfId="0" applyFont="1" applyFill="1" applyBorder="1" applyAlignment="1">
      <alignment horizontal="center" vertical="center" wrapText="1"/>
    </xf>
    <xf numFmtId="0" fontId="117" fillId="21" borderId="88" xfId="0" applyFont="1" applyFill="1" applyBorder="1" applyAlignment="1">
      <alignment horizontal="center" vertical="center" wrapText="1"/>
    </xf>
    <xf numFmtId="0" fontId="117" fillId="21" borderId="73" xfId="0" applyFont="1" applyFill="1" applyBorder="1" applyAlignment="1">
      <alignment horizontal="center" vertical="center" wrapText="1"/>
    </xf>
    <xf numFmtId="0" fontId="43" fillId="0" borderId="0" xfId="0" applyFont="1" applyBorder="1"/>
    <xf numFmtId="0" fontId="119" fillId="21" borderId="0" xfId="0" applyFont="1" applyFill="1" applyBorder="1" applyAlignment="1">
      <alignment horizontal="center" vertical="center" wrapText="1"/>
    </xf>
    <xf numFmtId="0" fontId="119" fillId="21" borderId="76" xfId="0" applyFont="1" applyFill="1" applyBorder="1" applyAlignment="1">
      <alignment horizontal="center" vertical="center" wrapText="1"/>
    </xf>
    <xf numFmtId="0" fontId="119" fillId="21" borderId="84" xfId="0" applyFont="1" applyFill="1" applyBorder="1" applyAlignment="1">
      <alignment horizontal="center" vertical="center" wrapText="1"/>
    </xf>
    <xf numFmtId="0" fontId="119" fillId="21" borderId="77" xfId="0" applyFont="1" applyFill="1" applyBorder="1" applyAlignment="1">
      <alignment horizontal="center" vertical="center" wrapText="1"/>
    </xf>
    <xf numFmtId="0" fontId="119" fillId="21" borderId="72" xfId="0" applyFont="1" applyFill="1" applyBorder="1" applyAlignment="1">
      <alignment horizontal="center" vertical="center" wrapText="1"/>
    </xf>
    <xf numFmtId="0" fontId="119" fillId="21" borderId="73" xfId="0" applyFont="1" applyFill="1" applyBorder="1" applyAlignment="1">
      <alignment horizontal="center" vertical="center" wrapText="1"/>
    </xf>
    <xf numFmtId="0" fontId="116" fillId="21" borderId="84" xfId="0" applyFont="1" applyFill="1" applyBorder="1" applyAlignment="1">
      <alignment vertical="center" wrapText="1"/>
    </xf>
    <xf numFmtId="0" fontId="116" fillId="21" borderId="77" xfId="0" applyFont="1" applyFill="1" applyBorder="1" applyAlignment="1">
      <alignment vertical="center" wrapText="1"/>
    </xf>
    <xf numFmtId="0" fontId="116" fillId="21" borderId="0" xfId="0" applyFont="1" applyFill="1" applyBorder="1" applyAlignment="1">
      <alignment vertical="center" wrapText="1"/>
    </xf>
    <xf numFmtId="0" fontId="116" fillId="21" borderId="89" xfId="0" applyFont="1" applyFill="1" applyBorder="1" applyAlignment="1">
      <alignment vertical="center" wrapText="1"/>
    </xf>
    <xf numFmtId="0" fontId="113" fillId="21" borderId="60" xfId="0" applyFont="1" applyFill="1" applyBorder="1" applyAlignment="1">
      <alignment horizontal="center" vertical="center" wrapText="1"/>
    </xf>
    <xf numFmtId="0" fontId="113" fillId="21" borderId="98" xfId="0" applyFont="1" applyFill="1" applyBorder="1" applyAlignment="1">
      <alignment horizontal="center" vertical="center" wrapText="1"/>
    </xf>
    <xf numFmtId="0" fontId="113" fillId="21" borderId="61" xfId="0" applyFont="1" applyFill="1" applyBorder="1" applyAlignment="1">
      <alignment horizontal="center" vertical="center" wrapText="1"/>
    </xf>
    <xf numFmtId="0" fontId="113" fillId="21" borderId="59" xfId="0" applyFont="1" applyFill="1" applyBorder="1" applyAlignment="1">
      <alignment horizontal="center" vertical="center" wrapText="1"/>
    </xf>
    <xf numFmtId="0" fontId="113" fillId="21" borderId="66" xfId="0" applyFont="1" applyFill="1" applyBorder="1" applyAlignment="1">
      <alignment horizontal="center" vertical="center" wrapText="1"/>
    </xf>
    <xf numFmtId="0" fontId="113" fillId="21" borderId="75" xfId="0" applyFont="1" applyFill="1" applyBorder="1" applyAlignment="1">
      <alignment horizontal="center" vertical="center" wrapText="1"/>
    </xf>
    <xf numFmtId="0" fontId="113" fillId="21" borderId="65" xfId="0" applyFont="1" applyFill="1" applyBorder="1" applyAlignment="1">
      <alignment horizontal="center" vertical="center" wrapText="1"/>
    </xf>
    <xf numFmtId="9" fontId="113" fillId="21" borderId="59" xfId="0" applyNumberFormat="1" applyFont="1" applyFill="1" applyBorder="1" applyAlignment="1">
      <alignment horizontal="center" vertical="center" wrapText="1"/>
    </xf>
    <xf numFmtId="0" fontId="13" fillId="21" borderId="0" xfId="0" applyFont="1" applyFill="1" applyAlignment="1">
      <alignment vertical="center" wrapText="1"/>
    </xf>
    <xf numFmtId="0" fontId="123" fillId="21" borderId="59" xfId="0" applyFont="1" applyFill="1" applyBorder="1" applyAlignment="1">
      <alignment horizontal="center" vertical="center" wrapText="1"/>
    </xf>
    <xf numFmtId="0" fontId="123" fillId="21" borderId="76" xfId="0" applyFont="1" applyFill="1" applyBorder="1" applyAlignment="1">
      <alignment horizontal="center" vertical="center" wrapText="1"/>
    </xf>
    <xf numFmtId="0" fontId="114" fillId="21" borderId="60" xfId="0" applyFont="1" applyFill="1" applyBorder="1" applyAlignment="1">
      <alignment horizontal="center" vertical="center"/>
    </xf>
    <xf numFmtId="0" fontId="114" fillId="21" borderId="98" xfId="0" applyFont="1" applyFill="1" applyBorder="1" applyAlignment="1">
      <alignment horizontal="center" vertical="center"/>
    </xf>
    <xf numFmtId="0" fontId="114" fillId="21" borderId="61" xfId="0" applyFont="1" applyFill="1" applyBorder="1" applyAlignment="1">
      <alignment horizontal="center" vertical="center"/>
    </xf>
    <xf numFmtId="0" fontId="114" fillId="21" borderId="93" xfId="0" applyFont="1" applyFill="1" applyBorder="1" applyAlignment="1">
      <alignment horizontal="center" vertical="center" wrapText="1"/>
    </xf>
    <xf numFmtId="0" fontId="114" fillId="21" borderId="100" xfId="0" applyFont="1" applyFill="1" applyBorder="1" applyAlignment="1">
      <alignment horizontal="center" vertical="center" wrapText="1"/>
    </xf>
    <xf numFmtId="0" fontId="114" fillId="21" borderId="101" xfId="0" applyFont="1" applyFill="1" applyBorder="1" applyAlignment="1">
      <alignment horizontal="center" vertical="center" wrapText="1"/>
    </xf>
    <xf numFmtId="0" fontId="114" fillId="21" borderId="112" xfId="0" applyFont="1" applyFill="1" applyBorder="1" applyAlignment="1">
      <alignment horizontal="left" vertical="center" wrapText="1"/>
    </xf>
    <xf numFmtId="0" fontId="114" fillId="21" borderId="67" xfId="7" applyFont="1" applyFill="1" applyBorder="1" applyAlignment="1">
      <alignment horizontal="center" vertical="center" wrapText="1"/>
    </xf>
    <xf numFmtId="0" fontId="114" fillId="21" borderId="99" xfId="7" applyFont="1" applyFill="1" applyBorder="1" applyAlignment="1">
      <alignment horizontal="center" vertical="center" wrapText="1"/>
    </xf>
    <xf numFmtId="0" fontId="114" fillId="21" borderId="68" xfId="7" applyFont="1" applyFill="1" applyBorder="1" applyAlignment="1">
      <alignment horizontal="center" vertical="center" wrapText="1"/>
    </xf>
    <xf numFmtId="0" fontId="114" fillId="21" borderId="60" xfId="0" applyFont="1" applyFill="1" applyBorder="1" applyAlignment="1">
      <alignment horizontal="center" vertical="center" wrapText="1"/>
    </xf>
    <xf numFmtId="0" fontId="114" fillId="21" borderId="61" xfId="0" applyFont="1" applyFill="1" applyBorder="1" applyAlignment="1">
      <alignment horizontal="center" vertical="center" wrapText="1"/>
    </xf>
    <xf numFmtId="0" fontId="114" fillId="21" borderId="8" xfId="7" applyFont="1" applyFill="1" applyBorder="1" applyAlignment="1">
      <alignment horizontal="center" vertical="center" wrapText="1"/>
    </xf>
    <xf numFmtId="0" fontId="114" fillId="21" borderId="34" xfId="7" applyFont="1" applyFill="1" applyBorder="1" applyAlignment="1">
      <alignment horizontal="center" vertical="center" wrapText="1"/>
    </xf>
    <xf numFmtId="0" fontId="114" fillId="21" borderId="15" xfId="7" applyFont="1" applyFill="1" applyBorder="1" applyAlignment="1">
      <alignment horizontal="center" vertical="center" wrapText="1"/>
    </xf>
    <xf numFmtId="0" fontId="114" fillId="21" borderId="10" xfId="7" applyFont="1" applyFill="1" applyBorder="1" applyAlignment="1">
      <alignment horizontal="center" vertical="center" wrapText="1"/>
    </xf>
    <xf numFmtId="0" fontId="114" fillId="21" borderId="11" xfId="7" applyFont="1" applyFill="1" applyBorder="1" applyAlignment="1">
      <alignment horizontal="center" vertical="center" wrapText="1"/>
    </xf>
    <xf numFmtId="0" fontId="114" fillId="21" borderId="9" xfId="7" applyFont="1" applyFill="1" applyBorder="1" applyAlignment="1">
      <alignment horizontal="center" vertical="center" wrapText="1"/>
    </xf>
    <xf numFmtId="0" fontId="114" fillId="21" borderId="1" xfId="0" applyFont="1" applyFill="1" applyBorder="1" applyAlignment="1">
      <alignment horizontal="left" vertical="center"/>
    </xf>
    <xf numFmtId="0" fontId="114" fillId="21" borderId="7" xfId="0" applyFont="1" applyFill="1" applyBorder="1" applyAlignment="1">
      <alignment horizontal="left" vertical="center"/>
    </xf>
    <xf numFmtId="0" fontId="5" fillId="0" borderId="8"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left" wrapText="1"/>
    </xf>
    <xf numFmtId="167" fontId="5" fillId="0" borderId="7" xfId="1" applyNumberFormat="1" applyFont="1" applyBorder="1" applyAlignment="1">
      <alignment horizontal="center" wrapText="1"/>
    </xf>
    <xf numFmtId="167" fontId="5" fillId="0" borderId="5" xfId="1" applyNumberFormat="1" applyFont="1" applyBorder="1" applyAlignment="1">
      <alignment horizontal="center" wrapText="1"/>
    </xf>
    <xf numFmtId="0" fontId="128" fillId="21" borderId="78" xfId="8" applyFont="1" applyFill="1" applyBorder="1" applyAlignment="1">
      <alignment horizontal="center" vertical="center"/>
    </xf>
    <xf numFmtId="167" fontId="5" fillId="0" borderId="47" xfId="1" applyNumberFormat="1" applyFont="1" applyFill="1" applyBorder="1" applyAlignment="1">
      <alignment horizontal="center" wrapText="1"/>
    </xf>
    <xf numFmtId="167" fontId="5" fillId="0" borderId="48" xfId="1" applyNumberFormat="1" applyFont="1" applyFill="1" applyBorder="1" applyAlignment="1">
      <alignment horizontal="center" wrapText="1"/>
    </xf>
    <xf numFmtId="167" fontId="5" fillId="0" borderId="49" xfId="1" applyNumberFormat="1" applyFont="1" applyFill="1" applyBorder="1" applyAlignment="1">
      <alignment horizontal="center" wrapText="1"/>
    </xf>
    <xf numFmtId="167" fontId="5" fillId="0" borderId="50" xfId="1" applyNumberFormat="1" applyFont="1" applyFill="1" applyBorder="1" applyAlignment="1">
      <alignment horizontal="center" wrapText="1"/>
    </xf>
    <xf numFmtId="167" fontId="5" fillId="0" borderId="6" xfId="1" applyNumberFormat="1" applyFont="1" applyFill="1" applyBorder="1" applyAlignment="1">
      <alignment horizontal="center" wrapText="1"/>
    </xf>
    <xf numFmtId="167" fontId="5" fillId="0" borderId="5" xfId="1" applyNumberFormat="1" applyFont="1" applyFill="1" applyBorder="1" applyAlignment="1">
      <alignment horizontal="center" wrapText="1"/>
    </xf>
    <xf numFmtId="0" fontId="113" fillId="21" borderId="59" xfId="3" applyFont="1" applyFill="1" applyBorder="1" applyAlignment="1">
      <alignment horizontal="center" vertical="center" wrapText="1"/>
    </xf>
    <xf numFmtId="0" fontId="6" fillId="4" borderId="7" xfId="0" applyFont="1" applyFill="1" applyBorder="1" applyAlignment="1">
      <alignment horizontal="left" vertical="center" wrapText="1" indent="1"/>
    </xf>
    <xf numFmtId="0" fontId="6" fillId="4" borderId="6" xfId="0" applyFont="1" applyFill="1" applyBorder="1" applyAlignment="1">
      <alignment horizontal="left" vertical="center" wrapText="1" indent="1"/>
    </xf>
    <xf numFmtId="0" fontId="114" fillId="21" borderId="14" xfId="0" applyFont="1" applyFill="1" applyBorder="1" applyAlignment="1">
      <alignment horizontal="left" vertical="center" wrapText="1"/>
    </xf>
    <xf numFmtId="0" fontId="114" fillId="21" borderId="114" xfId="0" applyFont="1" applyFill="1" applyBorder="1" applyAlignment="1">
      <alignment horizontal="left" vertical="center" wrapText="1"/>
    </xf>
    <xf numFmtId="0" fontId="113" fillId="21" borderId="76" xfId="12" applyFont="1" applyFill="1" applyBorder="1" applyAlignment="1">
      <alignment horizontal="center" vertical="center" wrapText="1"/>
    </xf>
    <xf numFmtId="0" fontId="113" fillId="21" borderId="62" xfId="12" applyFont="1" applyFill="1" applyBorder="1" applyAlignment="1">
      <alignment horizontal="center" vertical="center" wrapText="1"/>
    </xf>
    <xf numFmtId="0" fontId="114" fillId="21" borderId="112" xfId="0" applyFont="1" applyFill="1" applyBorder="1" applyAlignment="1">
      <alignment horizontal="left" wrapText="1"/>
    </xf>
    <xf numFmtId="0" fontId="114" fillId="21" borderId="111" xfId="0" applyFont="1" applyFill="1" applyBorder="1" applyAlignment="1">
      <alignment horizontal="left" wrapText="1"/>
    </xf>
    <xf numFmtId="0" fontId="114" fillId="21" borderId="62" xfId="0" applyFont="1" applyFill="1" applyBorder="1" applyAlignment="1">
      <alignment horizontal="center" vertical="center"/>
    </xf>
    <xf numFmtId="0" fontId="114" fillId="21" borderId="76" xfId="0" applyFont="1" applyFill="1" applyBorder="1" applyAlignment="1">
      <alignment horizontal="center" vertical="center" wrapText="1"/>
    </xf>
    <xf numFmtId="0" fontId="114" fillId="21" borderId="84" xfId="0" applyFont="1" applyFill="1" applyBorder="1" applyAlignment="1">
      <alignment horizontal="center" vertical="center" wrapText="1"/>
    </xf>
    <xf numFmtId="0" fontId="114" fillId="21" borderId="62" xfId="0" applyFont="1" applyFill="1" applyBorder="1" applyAlignment="1">
      <alignment horizontal="center" vertical="center" wrapText="1"/>
    </xf>
    <xf numFmtId="0" fontId="114" fillId="21" borderId="74" xfId="0" applyFont="1" applyFill="1" applyBorder="1" applyAlignment="1">
      <alignment horizontal="center"/>
    </xf>
    <xf numFmtId="0" fontId="114" fillId="21" borderId="69" xfId="0" applyFont="1" applyFill="1" applyBorder="1" applyAlignment="1">
      <alignment horizontal="center"/>
    </xf>
    <xf numFmtId="0" fontId="19" fillId="5" borderId="1" xfId="0" applyFont="1" applyFill="1" applyBorder="1" applyAlignment="1">
      <alignment horizontal="left" vertical="center" wrapText="1" indent="2"/>
    </xf>
    <xf numFmtId="0" fontId="83" fillId="0" borderId="1" xfId="0" applyFont="1" applyBorder="1" applyAlignment="1">
      <alignment vertical="center" wrapText="1"/>
    </xf>
    <xf numFmtId="0" fontId="0" fillId="0" borderId="35" xfId="0" applyFont="1" applyBorder="1" applyAlignment="1">
      <alignment vertical="center" wrapText="1"/>
    </xf>
    <xf numFmtId="0" fontId="0" fillId="0" borderId="1" xfId="0" applyFont="1" applyBorder="1" applyAlignment="1">
      <alignment vertical="center" wrapText="1"/>
    </xf>
    <xf numFmtId="0" fontId="43" fillId="21" borderId="28" xfId="0" applyFont="1" applyFill="1" applyBorder="1"/>
    <xf numFmtId="0" fontId="43" fillId="0" borderId="0" xfId="0" applyFont="1"/>
    <xf numFmtId="0" fontId="43" fillId="21" borderId="0" xfId="0" applyFont="1" applyFill="1"/>
    <xf numFmtId="0" fontId="117" fillId="21" borderId="74" xfId="0" applyFont="1" applyFill="1" applyBorder="1" applyAlignment="1">
      <alignment horizontal="center" vertical="center" wrapText="1"/>
    </xf>
    <xf numFmtId="0" fontId="117" fillId="21" borderId="70" xfId="0" applyFont="1" applyFill="1" applyBorder="1" applyAlignment="1">
      <alignment horizontal="center" vertical="center" wrapText="1"/>
    </xf>
    <xf numFmtId="0" fontId="116" fillId="21" borderId="0" xfId="0" applyFont="1" applyFill="1"/>
    <xf numFmtId="0" fontId="126" fillId="21" borderId="59" xfId="0" applyFont="1" applyFill="1" applyBorder="1" applyAlignment="1">
      <alignment horizontal="center" vertical="center" wrapText="1"/>
    </xf>
    <xf numFmtId="0" fontId="126" fillId="21" borderId="60" xfId="0" applyFont="1" applyFill="1" applyBorder="1" applyAlignment="1">
      <alignment vertical="center" wrapText="1"/>
    </xf>
    <xf numFmtId="0" fontId="126" fillId="21" borderId="61" xfId="0" applyFont="1" applyFill="1" applyBorder="1" applyAlignment="1">
      <alignment vertical="center" wrapText="1"/>
    </xf>
    <xf numFmtId="0" fontId="3" fillId="0" borderId="7" xfId="0" applyFont="1" applyBorder="1" applyAlignment="1">
      <alignment horizontal="left" vertical="center" wrapText="1"/>
    </xf>
    <xf numFmtId="0" fontId="3" fillId="0" borderId="5" xfId="0" applyFont="1" applyBorder="1" applyAlignment="1">
      <alignment horizontal="left" vertical="center" wrapText="1"/>
    </xf>
    <xf numFmtId="0" fontId="114" fillId="21" borderId="67" xfId="0" applyFont="1" applyFill="1" applyBorder="1" applyAlignment="1">
      <alignment horizontal="center"/>
    </xf>
    <xf numFmtId="0" fontId="114" fillId="21" borderId="99" xfId="0" applyFont="1" applyFill="1" applyBorder="1" applyAlignment="1">
      <alignment horizontal="center"/>
    </xf>
    <xf numFmtId="0" fontId="114" fillId="21" borderId="68" xfId="0" applyFont="1" applyFill="1" applyBorder="1" applyAlignment="1">
      <alignment horizontal="center"/>
    </xf>
    <xf numFmtId="0" fontId="114" fillId="21" borderId="66" xfId="0" applyFont="1" applyFill="1" applyBorder="1" applyAlignment="1">
      <alignment horizontal="center"/>
    </xf>
    <xf numFmtId="0" fontId="114" fillId="21" borderId="75" xfId="0" applyFont="1" applyFill="1" applyBorder="1" applyAlignment="1">
      <alignment horizontal="center"/>
    </xf>
    <xf numFmtId="0" fontId="114" fillId="21" borderId="65" xfId="0" applyFont="1" applyFill="1" applyBorder="1" applyAlignment="1">
      <alignment horizontal="center"/>
    </xf>
    <xf numFmtId="0" fontId="114" fillId="21" borderId="4" xfId="0" applyFont="1" applyFill="1" applyBorder="1" applyAlignment="1">
      <alignment horizontal="center"/>
    </xf>
    <xf numFmtId="0" fontId="114" fillId="21" borderId="34" xfId="0" applyFont="1" applyFill="1" applyBorder="1" applyAlignment="1">
      <alignment horizontal="center"/>
    </xf>
    <xf numFmtId="0" fontId="114" fillId="21" borderId="84" xfId="0" applyFont="1" applyFill="1" applyBorder="1" applyAlignment="1">
      <alignment horizontal="center" vertical="center"/>
    </xf>
    <xf numFmtId="0" fontId="114" fillId="21" borderId="72" xfId="0" applyFont="1" applyFill="1" applyBorder="1" applyAlignment="1">
      <alignment horizontal="center"/>
    </xf>
    <xf numFmtId="0" fontId="114" fillId="21" borderId="73" xfId="0" applyFont="1" applyFill="1" applyBorder="1" applyAlignment="1">
      <alignment horizontal="center"/>
    </xf>
    <xf numFmtId="0" fontId="114" fillId="21" borderId="0" xfId="0" applyFont="1" applyFill="1" applyBorder="1" applyAlignment="1">
      <alignment horizontal="center"/>
    </xf>
    <xf numFmtId="0" fontId="114" fillId="21" borderId="34" xfId="0" applyFont="1" applyFill="1" applyBorder="1" applyAlignment="1">
      <alignment horizontal="center" vertical="center"/>
    </xf>
    <xf numFmtId="0" fontId="114" fillId="21" borderId="3" xfId="0" applyFont="1" applyFill="1" applyBorder="1" applyAlignment="1">
      <alignment horizontal="center" vertical="center"/>
    </xf>
    <xf numFmtId="0" fontId="114" fillId="21" borderId="72" xfId="0" applyFont="1" applyFill="1" applyBorder="1" applyAlignment="1">
      <alignment horizontal="center" vertical="center" wrapText="1"/>
    </xf>
    <xf numFmtId="0" fontId="114" fillId="21" borderId="74" xfId="0" applyFont="1" applyFill="1" applyBorder="1" applyAlignment="1">
      <alignment horizontal="center" vertical="center" wrapText="1"/>
    </xf>
    <xf numFmtId="0" fontId="114" fillId="21" borderId="72" xfId="0" applyFont="1" applyFill="1" applyBorder="1" applyAlignment="1">
      <alignment horizontal="center" vertical="center"/>
    </xf>
    <xf numFmtId="0" fontId="114" fillId="21" borderId="74" xfId="0" applyFont="1" applyFill="1" applyBorder="1" applyAlignment="1">
      <alignment horizontal="center" vertical="center"/>
    </xf>
    <xf numFmtId="0" fontId="5" fillId="0" borderId="1" xfId="0" applyFont="1" applyBorder="1" applyAlignment="1">
      <alignment horizontal="left"/>
    </xf>
    <xf numFmtId="0" fontId="114" fillId="21" borderId="59" xfId="0" applyFont="1" applyFill="1" applyBorder="1" applyAlignment="1">
      <alignment horizontal="center" wrapText="1"/>
    </xf>
    <xf numFmtId="0" fontId="6" fillId="0" borderId="1" xfId="0" applyFont="1" applyBorder="1" applyAlignment="1">
      <alignment horizontal="left"/>
    </xf>
    <xf numFmtId="0" fontId="5" fillId="0" borderId="1" xfId="0" applyFont="1" applyBorder="1" applyAlignment="1">
      <alignment horizontal="left" indent="1"/>
    </xf>
    <xf numFmtId="0" fontId="114" fillId="21" borderId="11" xfId="0" applyFont="1" applyFill="1" applyBorder="1" applyAlignment="1">
      <alignment horizontal="center"/>
    </xf>
    <xf numFmtId="0" fontId="5" fillId="0" borderId="7" xfId="0" applyFont="1" applyBorder="1" applyAlignment="1">
      <alignment horizontal="left" vertical="center" wrapText="1" indent="2"/>
    </xf>
    <xf numFmtId="0" fontId="5" fillId="0" borderId="5" xfId="0" applyFont="1" applyBorder="1" applyAlignment="1">
      <alignment horizontal="left" vertical="center" wrapText="1" indent="2"/>
    </xf>
    <xf numFmtId="0" fontId="5" fillId="0" borderId="0" xfId="0" applyFont="1" applyAlignment="1">
      <alignment horizontal="left"/>
    </xf>
    <xf numFmtId="0" fontId="5" fillId="0" borderId="7" xfId="0" applyFont="1" applyBorder="1" applyAlignment="1">
      <alignment horizontal="left" vertical="center" wrapText="1"/>
    </xf>
    <xf numFmtId="0" fontId="5" fillId="0" borderId="5" xfId="0" applyFont="1" applyBorder="1" applyAlignment="1">
      <alignment horizontal="left" vertical="center" wrapText="1"/>
    </xf>
    <xf numFmtId="0" fontId="5" fillId="4" borderId="7"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21" borderId="7" xfId="0" applyFont="1" applyFill="1" applyBorder="1" applyAlignment="1">
      <alignment horizontal="left"/>
    </xf>
    <xf numFmtId="0" fontId="5" fillId="21" borderId="6" xfId="0" applyFont="1" applyFill="1" applyBorder="1" applyAlignment="1">
      <alignment horizontal="left"/>
    </xf>
    <xf numFmtId="0" fontId="5" fillId="4" borderId="3" xfId="0" applyFont="1" applyFill="1" applyBorder="1" applyAlignment="1">
      <alignment horizontal="left" vertical="center" wrapText="1"/>
    </xf>
    <xf numFmtId="0" fontId="5" fillId="4" borderId="2" xfId="0" applyFont="1" applyFill="1" applyBorder="1" applyAlignment="1">
      <alignment horizontal="left" vertical="center" wrapText="1"/>
    </xf>
    <xf numFmtId="0" fontId="113" fillId="21" borderId="72" xfId="3" applyFont="1" applyFill="1" applyBorder="1" applyAlignment="1">
      <alignment horizontal="center" vertical="center" wrapText="1"/>
    </xf>
    <xf numFmtId="0" fontId="113" fillId="21" borderId="73" xfId="3" applyFont="1" applyFill="1" applyBorder="1" applyAlignment="1">
      <alignment horizontal="center" vertical="center" wrapText="1"/>
    </xf>
    <xf numFmtId="0" fontId="113" fillId="21" borderId="90" xfId="3" applyFont="1" applyFill="1" applyBorder="1" applyAlignment="1">
      <alignment horizontal="center" vertical="center" wrapText="1"/>
    </xf>
    <xf numFmtId="0" fontId="113" fillId="21" borderId="63" xfId="3" applyFont="1" applyFill="1" applyBorder="1" applyAlignment="1">
      <alignment horizontal="center" vertical="center" wrapText="1"/>
    </xf>
    <xf numFmtId="0" fontId="113" fillId="21" borderId="66" xfId="3" applyFont="1" applyFill="1" applyBorder="1" applyAlignment="1">
      <alignment horizontal="center" vertical="center" wrapText="1"/>
    </xf>
    <xf numFmtId="0" fontId="113" fillId="21" borderId="0" xfId="3" applyFont="1" applyFill="1" applyBorder="1" applyAlignment="1">
      <alignment horizontal="center" vertical="center" wrapText="1"/>
    </xf>
    <xf numFmtId="0" fontId="22" fillId="0" borderId="7"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5" xfId="0" applyFont="1" applyBorder="1" applyAlignment="1">
      <alignment horizontal="center" vertical="center" wrapText="1"/>
    </xf>
    <xf numFmtId="0" fontId="23" fillId="7" borderId="7" xfId="0" applyFont="1" applyFill="1" applyBorder="1" applyAlignment="1">
      <alignment horizontal="center" vertical="center" wrapText="1"/>
    </xf>
    <xf numFmtId="0" fontId="23" fillId="7" borderId="5" xfId="0" applyFont="1" applyFill="1" applyBorder="1" applyAlignment="1">
      <alignment horizontal="center" vertical="center" wrapText="1"/>
    </xf>
    <xf numFmtId="0" fontId="24"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46" fillId="0" borderId="24" xfId="0" applyFont="1" applyBorder="1" applyAlignment="1">
      <alignment horizontal="center" vertical="center" wrapText="1"/>
    </xf>
    <xf numFmtId="0" fontId="46" fillId="0" borderId="26" xfId="0" applyFont="1" applyBorder="1" applyAlignment="1">
      <alignment horizontal="center" vertical="center" wrapText="1"/>
    </xf>
    <xf numFmtId="0" fontId="57" fillId="0" borderId="0" xfId="0" applyFont="1" applyAlignment="1">
      <alignment horizontal="justify" vertical="center" wrapText="1"/>
    </xf>
    <xf numFmtId="164" fontId="48" fillId="17" borderId="17" xfId="1" applyNumberFormat="1" applyFont="1" applyFill="1" applyBorder="1" applyAlignment="1">
      <alignment horizontal="center" vertical="center" wrapText="1"/>
    </xf>
    <xf numFmtId="164" fontId="48" fillId="17" borderId="19" xfId="1" applyNumberFormat="1" applyFont="1" applyFill="1" applyBorder="1" applyAlignment="1">
      <alignment horizontal="center" vertical="center" wrapText="1"/>
    </xf>
    <xf numFmtId="164" fontId="5" fillId="0" borderId="17" xfId="1" applyNumberFormat="1" applyFont="1" applyBorder="1" applyAlignment="1">
      <alignment horizontal="center" vertical="center"/>
    </xf>
    <xf numFmtId="164" fontId="5" fillId="0" borderId="19" xfId="1" applyNumberFormat="1" applyFont="1" applyBorder="1" applyAlignment="1">
      <alignment horizontal="center" vertical="center"/>
    </xf>
    <xf numFmtId="164" fontId="50" fillId="7" borderId="17" xfId="1" applyNumberFormat="1" applyFont="1" applyFill="1" applyBorder="1" applyAlignment="1">
      <alignment horizontal="center" vertical="center"/>
    </xf>
    <xf numFmtId="164" fontId="50" fillId="7" borderId="19" xfId="1" applyNumberFormat="1" applyFont="1" applyFill="1" applyBorder="1" applyAlignment="1">
      <alignment horizontal="center" vertical="center"/>
    </xf>
    <xf numFmtId="0" fontId="43" fillId="0" borderId="28" xfId="0" applyFont="1" applyBorder="1"/>
    <xf numFmtId="0" fontId="46" fillId="0" borderId="17" xfId="0" applyFont="1" applyBorder="1" applyAlignment="1">
      <alignment horizontal="center" vertical="center" wrapText="1"/>
    </xf>
    <xf numFmtId="0" fontId="46" fillId="0" borderId="19" xfId="0" applyFont="1" applyBorder="1" applyAlignment="1">
      <alignment horizontal="center" vertical="center" wrapText="1"/>
    </xf>
    <xf numFmtId="0" fontId="46" fillId="0" borderId="20" xfId="0" applyFont="1" applyBorder="1" applyAlignment="1">
      <alignment horizontal="center" vertical="center" wrapText="1"/>
    </xf>
    <xf numFmtId="0" fontId="46" fillId="0" borderId="30" xfId="0" applyFont="1" applyBorder="1" applyAlignment="1">
      <alignment horizontal="center" vertical="center" wrapText="1"/>
    </xf>
    <xf numFmtId="0" fontId="46" fillId="0" borderId="31" xfId="0" applyFont="1" applyBorder="1" applyAlignment="1">
      <alignment horizontal="center" vertical="center" wrapText="1"/>
    </xf>
    <xf numFmtId="0" fontId="46" fillId="0" borderId="21" xfId="0" applyFont="1" applyBorder="1" applyAlignment="1">
      <alignment horizontal="center" vertical="center" wrapText="1"/>
    </xf>
    <xf numFmtId="0" fontId="46" fillId="0" borderId="12" xfId="0" applyFont="1" applyBorder="1" applyAlignment="1">
      <alignment horizontal="center" vertical="center" wrapText="1"/>
    </xf>
    <xf numFmtId="0" fontId="46" fillId="0" borderId="32" xfId="0" applyFont="1" applyBorder="1" applyAlignment="1">
      <alignment horizontal="center" vertical="center" wrapText="1"/>
    </xf>
    <xf numFmtId="0" fontId="46" fillId="0" borderId="23" xfId="0" applyFont="1" applyBorder="1" applyAlignment="1">
      <alignment horizontal="center" vertical="center" wrapText="1"/>
    </xf>
    <xf numFmtId="0" fontId="46" fillId="0" borderId="33" xfId="0" applyFont="1" applyBorder="1" applyAlignment="1">
      <alignment horizontal="center" vertical="center" wrapText="1"/>
    </xf>
    <xf numFmtId="0" fontId="46" fillId="0" borderId="27" xfId="0" applyFont="1" applyBorder="1" applyAlignment="1">
      <alignment horizontal="center" vertical="center" wrapText="1"/>
    </xf>
    <xf numFmtId="0" fontId="46" fillId="0" borderId="24" xfId="0" applyFont="1" applyBorder="1" applyAlignment="1">
      <alignment horizontal="center" vertical="top" wrapText="1"/>
    </xf>
    <xf numFmtId="0" fontId="46" fillId="0" borderId="32" xfId="0" applyFont="1" applyBorder="1" applyAlignment="1">
      <alignment horizontal="center" vertical="top" wrapText="1"/>
    </xf>
    <xf numFmtId="0" fontId="46" fillId="0" borderId="26" xfId="0" applyFont="1" applyBorder="1" applyAlignment="1">
      <alignment horizontal="center" vertical="top" wrapText="1"/>
    </xf>
    <xf numFmtId="0" fontId="43" fillId="0" borderId="32" xfId="0" applyFont="1" applyBorder="1" applyAlignment="1">
      <alignment vertical="center" wrapText="1"/>
    </xf>
    <xf numFmtId="0" fontId="43" fillId="0" borderId="26" xfId="0" applyFont="1" applyBorder="1" applyAlignment="1">
      <alignment vertical="center" wrapText="1"/>
    </xf>
    <xf numFmtId="0" fontId="46" fillId="0" borderId="32" xfId="0" applyFont="1" applyBorder="1" applyAlignment="1">
      <alignment vertical="center" wrapText="1"/>
    </xf>
    <xf numFmtId="0" fontId="46" fillId="0" borderId="26" xfId="0" applyFont="1" applyBorder="1" applyAlignment="1">
      <alignment vertical="center" wrapText="1"/>
    </xf>
    <xf numFmtId="164" fontId="112" fillId="7" borderId="17" xfId="1" applyNumberFormat="1" applyFont="1" applyFill="1" applyBorder="1" applyAlignment="1">
      <alignment horizontal="center" vertical="center" wrapText="1"/>
    </xf>
    <xf numFmtId="164" fontId="112" fillId="7" borderId="19" xfId="1" applyNumberFormat="1" applyFont="1" applyFill="1" applyBorder="1" applyAlignment="1">
      <alignment horizontal="center" vertical="center" wrapText="1"/>
    </xf>
    <xf numFmtId="0" fontId="46" fillId="0" borderId="20" xfId="0" applyFont="1" applyBorder="1" applyAlignment="1">
      <alignment wrapText="1"/>
    </xf>
    <xf numFmtId="0" fontId="46" fillId="0" borderId="30" xfId="0" applyFont="1" applyBorder="1" applyAlignment="1">
      <alignment wrapText="1"/>
    </xf>
    <xf numFmtId="0" fontId="46" fillId="0" borderId="31" xfId="0" applyFont="1" applyBorder="1" applyAlignment="1">
      <alignment wrapText="1"/>
    </xf>
    <xf numFmtId="164" fontId="16" fillId="0" borderId="17" xfId="1" applyNumberFormat="1" applyFont="1" applyBorder="1" applyAlignment="1">
      <alignment vertical="center" wrapText="1"/>
    </xf>
    <xf numFmtId="164" fontId="16" fillId="0" borderId="19" xfId="1" applyNumberFormat="1" applyFont="1" applyBorder="1" applyAlignment="1">
      <alignment vertical="center" wrapText="1"/>
    </xf>
    <xf numFmtId="164" fontId="16" fillId="0" borderId="22" xfId="1" applyNumberFormat="1" applyFont="1" applyBorder="1" applyAlignment="1">
      <alignment vertical="center" wrapText="1"/>
    </xf>
    <xf numFmtId="164" fontId="16" fillId="18" borderId="17" xfId="1" applyNumberFormat="1" applyFont="1" applyFill="1" applyBorder="1" applyAlignment="1">
      <alignment vertical="center" wrapText="1"/>
    </xf>
    <xf numFmtId="164" fontId="16" fillId="18" borderId="19" xfId="1" applyNumberFormat="1" applyFont="1" applyFill="1" applyBorder="1" applyAlignment="1">
      <alignment vertical="center" wrapText="1"/>
    </xf>
    <xf numFmtId="164" fontId="16" fillId="18" borderId="22" xfId="1" applyNumberFormat="1" applyFont="1" applyFill="1" applyBorder="1" applyAlignment="1">
      <alignment vertical="center" wrapText="1"/>
    </xf>
    <xf numFmtId="0" fontId="16" fillId="0" borderId="17"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20" xfId="0" applyFont="1" applyBorder="1" applyAlignment="1">
      <alignment horizontal="center" vertical="center"/>
    </xf>
    <xf numFmtId="0" fontId="16" fillId="0" borderId="30" xfId="0" applyFont="1" applyBorder="1" applyAlignment="1">
      <alignment horizontal="center" vertical="center"/>
    </xf>
    <xf numFmtId="0" fontId="16" fillId="0" borderId="21" xfId="0" applyFont="1" applyBorder="1" applyAlignment="1">
      <alignment horizontal="center" vertical="center"/>
    </xf>
    <xf numFmtId="0" fontId="16" fillId="0" borderId="33" xfId="0" applyFont="1" applyBorder="1" applyAlignment="1">
      <alignment horizontal="center" vertical="center"/>
    </xf>
    <xf numFmtId="0" fontId="16" fillId="0" borderId="28" xfId="0" applyFont="1" applyBorder="1" applyAlignment="1">
      <alignment horizontal="center" vertical="center"/>
    </xf>
    <xf numFmtId="0" fontId="16" fillId="0" borderId="27" xfId="0" applyFont="1" applyBorder="1" applyAlignment="1">
      <alignment horizontal="center" vertical="center"/>
    </xf>
    <xf numFmtId="0" fontId="16" fillId="0" borderId="20" xfId="0" applyFont="1" applyBorder="1" applyAlignment="1">
      <alignment horizontal="left" vertical="center"/>
    </xf>
    <xf numFmtId="0" fontId="16" fillId="0" borderId="30" xfId="0" applyFont="1" applyBorder="1" applyAlignment="1">
      <alignment horizontal="left" vertical="center"/>
    </xf>
    <xf numFmtId="0" fontId="16" fillId="7" borderId="22" xfId="0" applyFont="1" applyFill="1" applyBorder="1" applyAlignment="1">
      <alignment vertical="center"/>
    </xf>
    <xf numFmtId="0" fontId="16" fillId="7" borderId="19" xfId="0" applyFont="1" applyFill="1" applyBorder="1" applyAlignment="1">
      <alignment vertical="center"/>
    </xf>
    <xf numFmtId="0" fontId="16" fillId="7" borderId="33" xfId="0" applyFont="1" applyFill="1" applyBorder="1"/>
    <xf numFmtId="0" fontId="16" fillId="7" borderId="28" xfId="0" applyFont="1" applyFill="1" applyBorder="1"/>
    <xf numFmtId="0" fontId="16" fillId="7" borderId="27" xfId="0" applyFont="1" applyFill="1" applyBorder="1"/>
    <xf numFmtId="0" fontId="16" fillId="0" borderId="25"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17" xfId="0" applyFont="1" applyBorder="1" applyAlignment="1">
      <alignment horizontal="center" vertical="center"/>
    </xf>
    <xf numFmtId="0" fontId="16" fillId="0" borderId="19" xfId="0" applyFont="1" applyBorder="1" applyAlignment="1">
      <alignment horizontal="center" vertical="center"/>
    </xf>
    <xf numFmtId="0" fontId="16" fillId="0" borderId="22" xfId="0" applyFont="1" applyBorder="1" applyAlignment="1">
      <alignment horizontal="center" vertical="center"/>
    </xf>
    <xf numFmtId="0" fontId="3" fillId="7" borderId="7"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0" fillId="0" borderId="10" xfId="0" applyBorder="1" applyAlignment="1">
      <alignment horizontal="center" vertical="center"/>
    </xf>
    <xf numFmtId="0" fontId="0" fillId="0" borderId="9" xfId="0" applyBorder="1" applyAlignment="1">
      <alignment horizontal="center" vertical="center"/>
    </xf>
    <xf numFmtId="0" fontId="5" fillId="7" borderId="7"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0" fillId="7" borderId="10" xfId="0" applyFill="1" applyBorder="1" applyAlignment="1">
      <alignment horizontal="center" vertical="center"/>
    </xf>
    <xf numFmtId="0" fontId="0" fillId="7" borderId="9" xfId="0" applyFill="1" applyBorder="1" applyAlignment="1">
      <alignment horizontal="center" vertical="center"/>
    </xf>
    <xf numFmtId="0" fontId="79" fillId="0" borderId="0" xfId="0" applyFont="1" applyAlignment="1">
      <alignment vertical="center" wrapText="1"/>
    </xf>
    <xf numFmtId="0" fontId="82" fillId="7" borderId="7" xfId="0" applyFont="1" applyFill="1" applyBorder="1" applyAlignment="1">
      <alignment horizontal="center" vertical="center" wrapText="1"/>
    </xf>
    <xf numFmtId="0" fontId="82" fillId="7" borderId="5" xfId="0" applyFont="1" applyFill="1" applyBorder="1" applyAlignment="1">
      <alignment horizontal="center" vertical="center" wrapText="1"/>
    </xf>
    <xf numFmtId="0" fontId="46" fillId="7" borderId="7" xfId="0" applyFont="1" applyFill="1" applyBorder="1" applyAlignment="1">
      <alignment horizontal="center" vertical="center" wrapText="1"/>
    </xf>
    <xf numFmtId="0" fontId="46" fillId="7" borderId="6" xfId="0" applyFont="1" applyFill="1" applyBorder="1" applyAlignment="1">
      <alignment horizontal="center" vertical="center" wrapText="1"/>
    </xf>
    <xf numFmtId="0" fontId="46" fillId="7" borderId="5" xfId="0" applyFont="1" applyFill="1" applyBorder="1" applyAlignment="1">
      <alignment horizontal="center" vertical="center" wrapText="1"/>
    </xf>
    <xf numFmtId="0" fontId="46" fillId="7" borderId="10" xfId="0" applyFont="1" applyFill="1" applyBorder="1" applyAlignment="1">
      <alignment horizontal="center" vertical="center" wrapText="1"/>
    </xf>
    <xf numFmtId="0" fontId="46" fillId="7" borderId="11" xfId="0" applyFont="1" applyFill="1" applyBorder="1" applyAlignment="1">
      <alignment horizontal="center" vertical="center" wrapText="1"/>
    </xf>
    <xf numFmtId="0" fontId="46" fillId="7" borderId="9" xfId="0" applyFont="1" applyFill="1" applyBorder="1" applyAlignment="1">
      <alignment horizontal="center" vertical="center" wrapText="1"/>
    </xf>
    <xf numFmtId="0" fontId="55" fillId="7" borderId="10" xfId="0" applyFont="1" applyFill="1" applyBorder="1" applyAlignment="1">
      <alignment horizontal="center" vertical="center" wrapText="1"/>
    </xf>
    <xf numFmtId="0" fontId="55" fillId="7" borderId="11" xfId="0" applyFont="1" applyFill="1" applyBorder="1" applyAlignment="1">
      <alignment horizontal="center" vertical="center" wrapText="1"/>
    </xf>
    <xf numFmtId="0" fontId="55" fillId="7" borderId="9" xfId="0" applyFont="1" applyFill="1" applyBorder="1" applyAlignment="1">
      <alignment horizontal="center" vertical="center" wrapText="1"/>
    </xf>
    <xf numFmtId="0" fontId="46" fillId="7" borderId="8" xfId="0" applyFont="1" applyFill="1" applyBorder="1" applyAlignment="1">
      <alignment horizontal="center" vertical="center" wrapText="1"/>
    </xf>
    <xf numFmtId="0" fontId="0" fillId="7" borderId="8" xfId="0" applyFill="1" applyBorder="1" applyAlignment="1">
      <alignment horizontal="center" vertical="center"/>
    </xf>
    <xf numFmtId="0" fontId="0" fillId="7" borderId="13" xfId="0" applyFill="1" applyBorder="1" applyAlignment="1">
      <alignment horizontal="center" vertical="center"/>
    </xf>
    <xf numFmtId="0" fontId="0" fillId="7" borderId="34" xfId="0" applyFill="1" applyBorder="1" applyAlignment="1">
      <alignment horizontal="center" vertical="center"/>
    </xf>
    <xf numFmtId="0" fontId="0" fillId="7" borderId="4" xfId="0" applyFill="1" applyBorder="1" applyAlignment="1">
      <alignment horizontal="center" vertical="center"/>
    </xf>
    <xf numFmtId="0" fontId="0" fillId="7" borderId="15" xfId="0" applyFill="1" applyBorder="1" applyAlignment="1">
      <alignment horizontal="center" vertical="center"/>
    </xf>
    <xf numFmtId="0" fontId="0" fillId="7" borderId="2" xfId="0" applyFill="1" applyBorder="1" applyAlignment="1">
      <alignment horizontal="center" vertical="center"/>
    </xf>
    <xf numFmtId="0" fontId="82" fillId="7" borderId="6" xfId="0" applyFont="1" applyFill="1" applyBorder="1" applyAlignment="1">
      <alignment horizontal="center" vertical="center" wrapText="1"/>
    </xf>
    <xf numFmtId="0" fontId="46" fillId="0" borderId="8" xfId="0" applyFont="1" applyBorder="1" applyAlignment="1">
      <alignment horizontal="center" vertical="center" wrapText="1"/>
    </xf>
    <xf numFmtId="0" fontId="46" fillId="0" borderId="13" xfId="0" applyFont="1" applyBorder="1" applyAlignment="1">
      <alignment horizontal="center" vertical="center" wrapText="1"/>
    </xf>
    <xf numFmtId="0" fontId="46" fillId="0" borderId="34" xfId="0" applyFont="1" applyBorder="1" applyAlignment="1">
      <alignment horizontal="center" vertical="center" wrapText="1"/>
    </xf>
    <xf numFmtId="0" fontId="46" fillId="0" borderId="4" xfId="0" applyFont="1" applyBorder="1" applyAlignment="1">
      <alignment horizontal="center" vertical="center" wrapText="1"/>
    </xf>
    <xf numFmtId="0" fontId="46" fillId="0" borderId="15" xfId="0" applyFont="1" applyBorder="1" applyAlignment="1">
      <alignment horizontal="center" vertical="center" wrapText="1"/>
    </xf>
    <xf numFmtId="0" fontId="46" fillId="0" borderId="2" xfId="0" applyFont="1" applyBorder="1" applyAlignment="1">
      <alignment horizontal="center" vertical="center" wrapText="1"/>
    </xf>
    <xf numFmtId="0" fontId="0" fillId="0" borderId="10" xfId="0" applyBorder="1" applyAlignment="1">
      <alignment horizontal="center"/>
    </xf>
    <xf numFmtId="0" fontId="0" fillId="0" borderId="11" xfId="0" applyBorder="1" applyAlignment="1">
      <alignment horizontal="center"/>
    </xf>
    <xf numFmtId="0" fontId="0" fillId="0" borderId="9" xfId="0" applyBorder="1" applyAlignment="1">
      <alignment horizontal="center"/>
    </xf>
    <xf numFmtId="0" fontId="45" fillId="0" borderId="10" xfId="0" applyFont="1" applyBorder="1" applyAlignment="1">
      <alignment horizontal="center" vertical="center" wrapText="1"/>
    </xf>
    <xf numFmtId="0" fontId="45" fillId="0" borderId="9" xfId="0" applyFont="1" applyBorder="1" applyAlignment="1">
      <alignment horizontal="center" vertical="center" wrapText="1"/>
    </xf>
    <xf numFmtId="0" fontId="58" fillId="0" borderId="10" xfId="0" applyFont="1" applyBorder="1" applyAlignment="1">
      <alignment horizontal="center" vertical="center" wrapText="1"/>
    </xf>
    <xf numFmtId="0" fontId="58" fillId="0" borderId="9" xfId="0" applyFont="1" applyBorder="1" applyAlignment="1">
      <alignment horizontal="center" vertical="center" wrapText="1"/>
    </xf>
    <xf numFmtId="0" fontId="58" fillId="0" borderId="8" xfId="0" applyFont="1" applyBorder="1" applyAlignment="1">
      <alignment horizontal="center" vertical="center" wrapText="1"/>
    </xf>
    <xf numFmtId="0" fontId="58" fillId="0" borderId="5"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0" fillId="0" borderId="1" xfId="0" applyBorder="1" applyAlignment="1">
      <alignment horizontal="center"/>
    </xf>
    <xf numFmtId="0" fontId="3" fillId="0" borderId="10" xfId="0" applyFont="1" applyBorder="1" applyAlignment="1">
      <alignment horizontal="center" wrapText="1"/>
    </xf>
    <xf numFmtId="0" fontId="3" fillId="0" borderId="9" xfId="0" applyFont="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wrapText="1"/>
    </xf>
    <xf numFmtId="0" fontId="3" fillId="0" borderId="10" xfId="0" applyFont="1" applyBorder="1" applyAlignment="1">
      <alignment horizontal="center" vertical="center" wrapText="1"/>
    </xf>
    <xf numFmtId="0" fontId="3" fillId="0" borderId="9" xfId="0" applyFont="1" applyBorder="1" applyAlignment="1">
      <alignment horizontal="center" vertical="center" wrapText="1"/>
    </xf>
    <xf numFmtId="0" fontId="0" fillId="0" borderId="10" xfId="0" applyBorder="1" applyAlignment="1">
      <alignment horizontal="center" vertical="center" wrapText="1"/>
    </xf>
    <xf numFmtId="0" fontId="0" fillId="0" borderId="9" xfId="0" applyBorder="1" applyAlignment="1">
      <alignment horizontal="center" vertical="center" wrapText="1"/>
    </xf>
    <xf numFmtId="0" fontId="6"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3" fillId="7" borderId="4" xfId="0" applyFont="1" applyFill="1" applyBorder="1" applyAlignment="1">
      <alignment vertical="center" wrapText="1"/>
    </xf>
    <xf numFmtId="0" fontId="13" fillId="7" borderId="11" xfId="0" applyFont="1" applyFill="1" applyBorder="1" applyAlignment="1">
      <alignment vertical="center" wrapText="1"/>
    </xf>
    <xf numFmtId="0" fontId="13" fillId="7" borderId="2" xfId="0" applyFont="1" applyFill="1" applyBorder="1" applyAlignment="1">
      <alignment vertical="center" wrapText="1"/>
    </xf>
    <xf numFmtId="0" fontId="13" fillId="7" borderId="9" xfId="0" applyFont="1" applyFill="1" applyBorder="1" applyAlignment="1">
      <alignment vertical="center" wrapText="1"/>
    </xf>
    <xf numFmtId="0" fontId="13" fillId="0" borderId="4" xfId="0" applyFont="1" applyBorder="1" applyAlignment="1">
      <alignment vertical="center" wrapText="1"/>
    </xf>
    <xf numFmtId="0" fontId="13" fillId="0" borderId="11" xfId="0" applyFont="1" applyBorder="1" applyAlignment="1">
      <alignment vertical="center" wrapText="1"/>
    </xf>
    <xf numFmtId="0" fontId="13" fillId="0" borderId="2" xfId="0" applyFont="1" applyBorder="1" applyAlignment="1">
      <alignment vertical="center" wrapText="1"/>
    </xf>
    <xf numFmtId="0" fontId="13" fillId="0" borderId="9" xfId="0" applyFont="1" applyBorder="1" applyAlignment="1">
      <alignment vertical="center" wrapText="1"/>
    </xf>
    <xf numFmtId="0" fontId="20" fillId="6" borderId="1" xfId="0" applyFont="1" applyFill="1" applyBorder="1" applyAlignment="1">
      <alignment vertical="center" wrapText="1"/>
    </xf>
    <xf numFmtId="0" fontId="0" fillId="0" borderId="0" xfId="0" applyAlignment="1">
      <alignment horizontal="justify" vertical="top" wrapText="1"/>
    </xf>
    <xf numFmtId="0" fontId="44" fillId="0" borderId="0" xfId="0" applyFont="1" applyAlignment="1">
      <alignment vertical="top" wrapText="1"/>
    </xf>
  </cellXfs>
  <cellStyles count="19">
    <cellStyle name="=C:\WINNT35\SYSTEM32\COMMAND.COM" xfId="3" xr:uid="{5E33F4D7-6D19-4594-8B69-7C360E3495AF}"/>
    <cellStyle name="Comma 2" xfId="17" xr:uid="{D29B3419-987E-4FA7-AC61-00D3C736E6F0}"/>
    <cellStyle name="Heading 1 2" xfId="11" xr:uid="{FC3430E2-C0E1-46B3-9774-7E813C2757FC}"/>
    <cellStyle name="Heading 2 2" xfId="10" xr:uid="{1BDEADF1-E75E-47DB-A297-57FA24CB9F78}"/>
    <cellStyle name="HeadingTable" xfId="12" xr:uid="{1FF2DF08-125E-472E-B41C-3E172DD2E55D}"/>
    <cellStyle name="Komma" xfId="1" builtinId="3"/>
    <cellStyle name="Komma 2" xfId="16" xr:uid="{B7D1CD76-12D7-4344-8A31-D6509951A25D}"/>
    <cellStyle name="Komma 3" xfId="14" xr:uid="{1EBDCCE5-15A1-4553-B5AC-D5C871A6CC7D}"/>
    <cellStyle name="Link" xfId="13" builtinId="8"/>
    <cellStyle name="Normal" xfId="0" builtinId="0"/>
    <cellStyle name="Normal 2" xfId="5" xr:uid="{B37DE214-4A64-4204-82F3-1A053AF10AC2}"/>
    <cellStyle name="Normal 2 2" xfId="6" xr:uid="{CD1D5805-B7B3-4083-98BF-1AD91B40ECD6}"/>
    <cellStyle name="Normal 2 2 2" xfId="15" xr:uid="{1C362C5C-4149-4897-B0E0-4A391C709396}"/>
    <cellStyle name="Normal 4" xfId="8" xr:uid="{7C9B58A6-6E3B-4E35-AD12-933034EA8575}"/>
    <cellStyle name="Normal_20 OPR" xfId="7" xr:uid="{BA219162-5679-4261-9536-AB5FE8183003}"/>
    <cellStyle name="optionalExposure" xfId="4" xr:uid="{5DDCB00B-A22E-4B02-AC73-E6831E9407BE}"/>
    <cellStyle name="Percent 2" xfId="18" xr:uid="{0930C09F-484D-4679-AB18-3D0BBCFDDECC}"/>
    <cellStyle name="Procent" xfId="2" builtinId="5"/>
    <cellStyle name="Standard 3" xfId="9" xr:uid="{677BABF2-C4A7-432E-B9E8-7E7C8740063F}"/>
  </cellStyles>
  <dxfs count="2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1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1.xml"/><Relationship Id="rId79" Type="http://schemas.openxmlformats.org/officeDocument/2006/relationships/externalLink" Target="externalLinks/externalLink6.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4.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7.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2.xml"/><Relationship Id="rId83" Type="http://schemas.openxmlformats.org/officeDocument/2006/relationships/externalLink" Target="externalLinks/externalLink10.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5.xml"/><Relationship Id="rId81" Type="http://schemas.openxmlformats.org/officeDocument/2006/relationships/externalLink" Target="externalLinks/externalLink8.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3.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externalLink" Target="externalLinks/externalLink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1866900</xdr:colOff>
      <xdr:row>15</xdr:row>
      <xdr:rowOff>152400</xdr:rowOff>
    </xdr:from>
    <xdr:to>
      <xdr:col>10</xdr:col>
      <xdr:colOff>1412082</xdr:colOff>
      <xdr:row>26</xdr:row>
      <xdr:rowOff>57150</xdr:rowOff>
    </xdr:to>
    <xdr:sp macro="" textlink="">
      <xdr:nvSpPr>
        <xdr:cNvPr id="2" name="AutoShape 1">
          <a:extLst>
            <a:ext uri="{FF2B5EF4-FFF2-40B4-BE49-F238E27FC236}">
              <a16:creationId xmlns:a16="http://schemas.microsoft.com/office/drawing/2014/main" id="{6210AF03-3362-4FB6-9A4D-7F7C718A60C3}"/>
            </a:ext>
          </a:extLst>
        </xdr:cNvPr>
        <xdr:cNvSpPr>
          <a:spLocks noChangeAspect="1" noChangeArrowheads="1"/>
        </xdr:cNvSpPr>
      </xdr:nvSpPr>
      <xdr:spPr bwMode="auto">
        <a:xfrm>
          <a:off x="3648075" y="3752850"/>
          <a:ext cx="8670132" cy="2000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xdr:row>
      <xdr:rowOff>95250</xdr:rowOff>
    </xdr:from>
    <xdr:to>
      <xdr:col>8</xdr:col>
      <xdr:colOff>428625</xdr:colOff>
      <xdr:row>19</xdr:row>
      <xdr:rowOff>30480</xdr:rowOff>
    </xdr:to>
    <xdr:pic>
      <xdr:nvPicPr>
        <xdr:cNvPr id="2" name="Picture 2">
          <a:extLst>
            <a:ext uri="{FF2B5EF4-FFF2-40B4-BE49-F238E27FC236}">
              <a16:creationId xmlns:a16="http://schemas.microsoft.com/office/drawing/2014/main" id="{9F4E95FE-FD4F-48F0-936F-645768391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95350"/>
          <a:ext cx="6981825" cy="27927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ebvpr-fs02\userdata\CP06revAnnex1_workinprogress.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ebvpr-fs02\userdata\Expert%20Groups\Accounting%20and%20Auditing\Other%20folders\EGFI%20Workstream%20Reporting\Circulated%20papers\2009\Marco%20Burroni\Banca%20d'Italia\Documents%20and%20Settings\Administrator\Desktop\CP06revAnnex1_workinprogress.xls?29A5132D" TargetMode="External"/><Relationship Id="rId1" Type="http://schemas.openxmlformats.org/officeDocument/2006/relationships/externalLinkPath" Target="file:///\\29A5132D\CP06revAnnex1_workinprogr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BVPR-FS02\Projects\P\My%20Documents\work\egfi%20november%202006\EGFI%202006%2010%20Rev5%20-%20Annex%201%20(Disclosure%20of%20COREP%20Implement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bvpr-fs02\userdata\Users\malba\AppData\Local\Microsoft\Windows\Temporary%20Internet%20Files\Content.Outlook\5FJ8X6ZY\TemplateAnalysisMatrix%202012%2010%2003_EGA%20(3).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bvpr-fs02\userdata\Documentum\dmcl\0000a01f\u192684\810cbb36\Documentum\dmcl\0000a01f\u181994\80cba7ac\TBG_IS4_ReportingTemplat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bvpr-fs02\userdata\Users\malba\AppData\Roaming\Microsoft\Excel\TemplateAnalysisMatrix%202012%2012%2004%20-%20Maria.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prod\dfs\mng\users\home\Delavaljm\CBFA\COREP\sarah.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BVPR-FS02\Projects\C\0130%20-%20RESCO\6.%20Subgroups\SGRPP\MREL\Reporting%20and%20disclosure\SRB%20templates\liability_data_reporting_2019_v2.7.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F6" t="str">
            <v>16-30 days</v>
          </cell>
          <cell r="AG6" t="str">
            <v>Trade receivables</v>
          </cell>
        </row>
        <row r="7">
          <cell r="A7" t="str">
            <v>Off balance sheet items</v>
          </cell>
          <cell r="D7" t="str">
            <v>MKR EQU Additional requirements for options</v>
          </cell>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F7" t="str">
            <v>&gt; 30 days ≤ 60 days</v>
          </cell>
          <cell r="AG7" t="str">
            <v>Other assets</v>
          </cell>
        </row>
        <row r="8">
          <cell r="A8" t="str">
            <v>Memorandum items</v>
          </cell>
          <cell r="D8" t="str">
            <v>Standardised approaches for commodities risk</v>
          </cell>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B8" t="str">
            <v>MKR COM risk</v>
          </cell>
          <cell r="AF8" t="str">
            <v>31 to 45 days</v>
          </cell>
          <cell r="AG8" t="str">
            <v>Other liabilities</v>
          </cell>
        </row>
        <row r="9">
          <cell r="A9" t="str">
            <v>Exposures</v>
          </cell>
          <cell r="D9" t="str">
            <v>Maturity ladder approach</v>
          </cell>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B9" t="str">
            <v>MKR</v>
          </cell>
          <cell r="AF9" t="str">
            <v>≥46 days</v>
          </cell>
          <cell r="AG9" t="str">
            <v>Covered Bonds</v>
          </cell>
        </row>
        <row r="10">
          <cell r="A10" t="str">
            <v>Assets</v>
          </cell>
          <cell r="D10" t="str">
            <v>Extended maturity ladder approach</v>
          </cell>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B10" t="str">
            <v>TDI and EQU General risk</v>
          </cell>
          <cell r="AF10" t="str">
            <v>&gt; 60 days ≤ 90 days</v>
          </cell>
          <cell r="AG10" t="str">
            <v>Underlying positions others than securitisation positions</v>
          </cell>
        </row>
        <row r="11">
          <cell r="A11" t="str">
            <v>Liabilities</v>
          </cell>
          <cell r="D11" t="str">
            <v>Simplified approach</v>
          </cell>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B11" t="str">
            <v>TDI and EQU Specific risk</v>
          </cell>
          <cell r="AF11" t="str">
            <v>&gt; 90 days ≤ 180days</v>
          </cell>
          <cell r="AG11" t="str">
            <v>Underlying others than Securitisation</v>
          </cell>
        </row>
        <row r="12">
          <cell r="A12" t="str">
            <v>Equity</v>
          </cell>
          <cell r="D12" t="str">
            <v>MKR COM Additional requirements for options</v>
          </cell>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B12" t="str">
            <v>Equity risk</v>
          </cell>
          <cell r="AF12" t="str">
            <v>&gt; 180 days ≤ 1year</v>
          </cell>
          <cell r="AG12" t="str">
            <v>Residential mortgages</v>
          </cell>
        </row>
        <row r="13">
          <cell r="A13" t="str">
            <v>Liabilities and Equity</v>
          </cell>
          <cell r="D13" t="str">
            <v>Internal models approach for market risk</v>
          </cell>
          <cell r="I13" t="str">
            <v>CRM techniques Exposure value adjustment effect [LE]</v>
          </cell>
          <cell r="J13" t="str">
            <v>CQS 6</v>
          </cell>
          <cell r="K13" t="str">
            <v>Non-financial corporations</v>
          </cell>
          <cell r="P13" t="str">
            <v>SPAIN</v>
          </cell>
          <cell r="Q13" t="str">
            <v>General allowances based on BAD. BAD art 37.2</v>
          </cell>
          <cell r="U13" t="str">
            <v>2,25%</v>
          </cell>
          <cell r="W13" t="str">
            <v>Held-to-maturity investments</v>
          </cell>
          <cell r="X13" t="str">
            <v>End accounting year T-1</v>
          </cell>
          <cell r="Z13" t="str">
            <v>Post-employment benefit plans with defined benefits</v>
          </cell>
          <cell r="AB13" t="str">
            <v>MKR TDI Specific risk for positions calculated with approaches for securitisation instruments</v>
          </cell>
          <cell r="AF13" t="str">
            <v>&gt; 1 year</v>
          </cell>
          <cell r="AG13" t="str">
            <v>Commercial mortgages</v>
          </cell>
        </row>
        <row r="14">
          <cell r="D14" t="str">
            <v>CR IRB SEC Supervisory formula method</v>
          </cell>
          <cell r="I14" t="str">
            <v>Credit derivatives - LGD adjustment effect</v>
          </cell>
          <cell r="J14" t="str">
            <v>CQS 7 &amp; S/T CQS 3</v>
          </cell>
          <cell r="K14" t="str">
            <v>Central banks</v>
          </cell>
          <cell r="P14" t="str">
            <v>FINLAND</v>
          </cell>
          <cell r="Q14" t="str">
            <v>Specific allowances. Collectively assessed financial assets</v>
          </cell>
          <cell r="U14">
            <v>1.5</v>
          </cell>
          <cell r="W14" t="str">
            <v>Property, plant and equipment. Cost model</v>
          </cell>
          <cell r="X14" t="str">
            <v>Temporally waived</v>
          </cell>
          <cell r="Z14" t="str">
            <v>Undertakings where the institution has a qualifying holding</v>
          </cell>
          <cell r="AB14" t="str">
            <v>Credit risk and free deliveries</v>
          </cell>
          <cell r="AF14" t="str">
            <v>≤ 3 months</v>
          </cell>
          <cell r="AG14" t="str">
            <v>Credit card receivables</v>
          </cell>
        </row>
        <row r="15">
          <cell r="D15" t="str">
            <v>Total general risk, specific risk for non securitisation instruments, particular approach for CIUs reported in TDI template, additional requirements for options</v>
          </cell>
          <cell r="I15" t="str">
            <v>Mortgages on commercial immovable property</v>
          </cell>
          <cell r="J15" t="str">
            <v>CQS 8</v>
          </cell>
          <cell r="K15" t="str">
            <v>Retail</v>
          </cell>
          <cell r="P15" t="str">
            <v>FRANCE</v>
          </cell>
          <cell r="Q15" t="str">
            <v>General allowances</v>
          </cell>
          <cell r="U15" t="str">
            <v>Zone 3 risk weights for MKR SA TDI general maturity-based approach</v>
          </cell>
          <cell r="W15" t="str">
            <v>Investment property. Cost model</v>
          </cell>
          <cell r="Z15" t="str">
            <v>Entities of the financial sector</v>
          </cell>
          <cell r="AB15" t="str">
            <v>MKR TDI Specific risk excluding securitisations and CTP positions</v>
          </cell>
          <cell r="AF15" t="str">
            <v>&gt; 2 years ≤ 3 years</v>
          </cell>
          <cell r="AG15" t="str">
            <v>Leasing</v>
          </cell>
        </row>
        <row r="16">
          <cell r="D16" t="str">
            <v>Particular approach for CIUs reported as debt instruments</v>
          </cell>
          <cell r="I16" t="str">
            <v>Financial collateral simple method</v>
          </cell>
          <cell r="J16" t="str">
            <v>CQS 9</v>
          </cell>
          <cell r="K16" t="str">
            <v>Other financial corporations</v>
          </cell>
          <cell r="P16" t="str">
            <v>GREECE</v>
          </cell>
          <cell r="Q16" t="str">
            <v>All allowances</v>
          </cell>
          <cell r="U16" t="str">
            <v>2,75%</v>
          </cell>
          <cell r="W16" t="str">
            <v>Measurement for Intangible assets. Other than Goodwill. Cost model</v>
          </cell>
          <cell r="Z16" t="str">
            <v>Entities of the financial sector</v>
          </cell>
          <cell r="AB16" t="str">
            <v>MKR TDI Specific risk for securitisation instrument</v>
          </cell>
          <cell r="AF16" t="str">
            <v>&gt; 3 months  ≤ 12 months</v>
          </cell>
        </row>
        <row r="17">
          <cell r="D17" t="str">
            <v>Standardised approach for equity risk</v>
          </cell>
          <cell r="I17" t="str">
            <v>Funded credit protection other than financial collateral wiith subsitution effect</v>
          </cell>
          <cell r="J17" t="str">
            <v>CQS 10</v>
          </cell>
          <cell r="K17" t="str">
            <v>Non-financial corporations. Corporates</v>
          </cell>
          <cell r="P17" t="str">
            <v>HUNGARY</v>
          </cell>
          <cell r="Q17" t="str">
            <v>Collective allowances for incurrred but not reported losses</v>
          </cell>
          <cell r="U17" t="str">
            <v>3,25%</v>
          </cell>
          <cell r="W17" t="str">
            <v>Financial assets held for trading</v>
          </cell>
          <cell r="Z17" t="str">
            <v>Other than entities of the financial sector</v>
          </cell>
          <cell r="AB17" t="str">
            <v>MKR TDI Specific risk for CTP positions</v>
          </cell>
          <cell r="AF17" t="str">
            <v>&gt; 1 year ≤ 2 years</v>
          </cell>
        </row>
        <row r="18">
          <cell r="D18" t="str">
            <v>CR IRB Alternative treatment for exposures secured by real estate</v>
          </cell>
          <cell r="I18" t="str">
            <v>CRM techniques substitution effect</v>
          </cell>
          <cell r="J18" t="str">
            <v>CQS 11</v>
          </cell>
          <cell r="K18" t="str">
            <v>Default funds of complying CCPs</v>
          </cell>
          <cell r="P18" t="str">
            <v>IRELAND</v>
          </cell>
          <cell r="Q18" t="str">
            <v>Non-impaired</v>
          </cell>
          <cell r="U18">
            <v>0.5</v>
          </cell>
          <cell r="W18" t="str">
            <v>Cash equivalents and demand deposits. Other than Cash balances at central banks</v>
          </cell>
          <cell r="Z18" t="str">
            <v>Entities within the scope of prudential consolidation</v>
          </cell>
          <cell r="AB18" t="str">
            <v>Counterparty credit risk</v>
          </cell>
          <cell r="AF18" t="str">
            <v>&gt; 3 years ≤ 5 years</v>
          </cell>
        </row>
        <row r="19">
          <cell r="D19" t="str">
            <v>Approach for general risk for equities</v>
          </cell>
          <cell r="I19" t="str">
            <v>CRM techniques Exposure value adjustment effect (Financial collateral comprehesive method SA)</v>
          </cell>
          <cell r="J19" t="str">
            <v>ALL OTHER CQS</v>
          </cell>
          <cell r="K19" t="str">
            <v>Default funds of non-complying CCPs</v>
          </cell>
          <cell r="P19" t="str">
            <v>ITALY</v>
          </cell>
          <cell r="U19" t="str">
            <v>3,75%</v>
          </cell>
          <cell r="W19" t="str">
            <v>Financial assets held for trading. At cost</v>
          </cell>
          <cell r="AB19" t="str">
            <v>Interest rate risk</v>
          </cell>
          <cell r="AF19" t="str">
            <v>&gt; 5 years ≤ 10 years</v>
          </cell>
        </row>
        <row r="20">
          <cell r="D20" t="str">
            <v>Approach for specific risk for equities</v>
          </cell>
          <cell r="I20" t="str">
            <v>Mortages on residential property</v>
          </cell>
          <cell r="K20" t="str">
            <v>Financial corporations</v>
          </cell>
          <cell r="P20" t="str">
            <v>JAPAN</v>
          </cell>
          <cell r="U20" t="str">
            <v>4,5%</v>
          </cell>
          <cell r="W20" t="str">
            <v>Trading Financial assets. At cost</v>
          </cell>
          <cell r="AB20" t="str">
            <v>Foreign exchange risk</v>
          </cell>
          <cell r="AF20" t="str">
            <v>&gt; 10 years ≤ 15 years</v>
          </cell>
        </row>
        <row r="21">
          <cell r="D21" t="str">
            <v>Particular approach for CIUs reported as equity</v>
          </cell>
          <cell r="I21" t="str">
            <v xml:space="preserve">Funded credit protection other than financial collateral excluding life insurance policies pledged to the lending institutions substitution effect </v>
          </cell>
          <cell r="K21" t="str">
            <v>Households. Corporates</v>
          </cell>
          <cell r="P21" t="str">
            <v>LITHUANIA</v>
          </cell>
          <cell r="U21" t="str">
            <v>5,25%</v>
          </cell>
          <cell r="W21" t="str">
            <v>Financial assets designated at fair value through profit or loss. At cost</v>
          </cell>
          <cell r="AB21" t="str">
            <v>Commodity risk</v>
          </cell>
          <cell r="AF21" t="str">
            <v>&gt; 15 years</v>
          </cell>
        </row>
        <row r="22">
          <cell r="D22" t="str">
            <v>CR SA SEC Internal Assessment Approach</v>
          </cell>
          <cell r="I22" t="str">
            <v>Guarantees other than credit derivatives - LGD adjustment effect</v>
          </cell>
          <cell r="K22" t="str">
            <v>SME</v>
          </cell>
          <cell r="P22" t="str">
            <v>LUXEMBOURG</v>
          </cell>
          <cell r="U22">
            <v>0.06</v>
          </cell>
          <cell r="W22" t="str">
            <v>Available-for-sale financial assets. At cost</v>
          </cell>
          <cell r="AB22" t="str">
            <v>Risks other than Interest rate risk, Equity risk, Foreign exchange risk, Credit risk, Commodity risk</v>
          </cell>
          <cell r="AF22" t="str">
            <v>≥5 days</v>
          </cell>
        </row>
        <row r="23">
          <cell r="D23" t="str">
            <v>CR IRB SEC Internal Assessment Approach</v>
          </cell>
          <cell r="I23" t="str">
            <v>Secured by mortgages on immovable property</v>
          </cell>
          <cell r="K23" t="str">
            <v>Counterparties other than SME</v>
          </cell>
          <cell r="P23" t="str">
            <v>LATVIA</v>
          </cell>
          <cell r="U23">
            <v>0.08</v>
          </cell>
          <cell r="W23" t="str">
            <v>Banking book</v>
          </cell>
          <cell r="AB23" t="str">
            <v>Credit risk, counterparty credit risk and free deliveries</v>
          </cell>
          <cell r="AF23" t="str">
            <v>≥ 2,5 years</v>
          </cell>
        </row>
        <row r="24">
          <cell r="D24" t="str">
            <v>CR IRB SEC Look-Through Approach</v>
          </cell>
          <cell r="I24" t="str">
            <v>Funded credit protection - Substitution effect</v>
          </cell>
          <cell r="K24" t="str">
            <v>Central governments or central banks</v>
          </cell>
          <cell r="P24" t="str">
            <v>MACEDONIA, THE FORMER YUGOSLAV REPUBLIC OF</v>
          </cell>
          <cell r="U24" t="str">
            <v>12,5%</v>
          </cell>
          <cell r="W24" t="str">
            <v>Non-trading debt instruments measured at a cost-based method</v>
          </cell>
          <cell r="AB24" t="str">
            <v>Settlement/delivery risk</v>
          </cell>
          <cell r="AF24" t="str">
            <v>0-4 days</v>
          </cell>
        </row>
        <row r="25">
          <cell r="D25" t="str">
            <v>CR IRB Risk weighted exposure amounts calculated using RW, other</v>
          </cell>
          <cell r="I25" t="str">
            <v>Cash and equivalents held by third parties</v>
          </cell>
          <cell r="K25" t="str">
            <v xml:space="preserve">Regional governments or local authorities </v>
          </cell>
          <cell r="P25" t="str">
            <v>MALTA</v>
          </cell>
          <cell r="U25">
            <v>2.5</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AB25" t="str">
            <v>Credit risk</v>
          </cell>
        </row>
        <row r="26">
          <cell r="D26" t="str">
            <v>Basic Indicator Approach</v>
          </cell>
          <cell r="I26" t="str">
            <v>Secured by real estate property</v>
          </cell>
          <cell r="K26" t="str">
            <v>Public sector entities</v>
          </cell>
          <cell r="P26" t="str">
            <v>NETHERLANDS</v>
          </cell>
          <cell r="U26" t="str">
            <v>Debt securities under the second category risk weights for MKR SA TDI specific total</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AB26" t="str">
            <v>Credit risk, counterparty credit risk, dilution risk and free deliveries</v>
          </cell>
        </row>
        <row r="27">
          <cell r="D27" t="str">
            <v>CR Methods to calculate risk weights for securitisation exposures IRB</v>
          </cell>
          <cell r="I27" t="str">
            <v>Life insurance policies pledged to the lending institutions LGD adjustment effect</v>
          </cell>
          <cell r="K27" t="str">
            <v xml:space="preserve">Multilateral Development Banks </v>
          </cell>
          <cell r="P27" t="str">
            <v>NORWAY</v>
          </cell>
          <cell r="U27" t="str">
            <v>0,25%</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AB27" t="str">
            <v>Dilution risk</v>
          </cell>
        </row>
        <row r="28">
          <cell r="D28" t="str">
            <v>Approach for specific risk for non securitisation debt instruments</v>
          </cell>
          <cell r="I28" t="str">
            <v>Instruments issued by third party with the obligation to repurchase by request</v>
          </cell>
          <cell r="K28" t="str">
            <v>International Organisations</v>
          </cell>
          <cell r="P28" t="str">
            <v>OTHER</v>
          </cell>
          <cell r="U28">
            <v>0.01</v>
          </cell>
          <cell r="W28" t="str">
            <v>Property, plant and equipment</v>
          </cell>
          <cell r="AB28" t="str">
            <v>CVA risk</v>
          </cell>
        </row>
        <row r="29">
          <cell r="D29" t="str">
            <v>Approach for specific risk for securitisation instruments</v>
          </cell>
          <cell r="I29" t="str">
            <v>Life insurance policies pledged to the lending institutions substitution effect</v>
          </cell>
          <cell r="K29" t="str">
            <v>Institutions</v>
          </cell>
          <cell r="P29" t="str">
            <v>POLAND</v>
          </cell>
          <cell r="U29" t="str">
            <v>1,6%</v>
          </cell>
          <cell r="W29" t="str">
            <v>Trading financial assets</v>
          </cell>
          <cell r="AB29" t="str">
            <v>MKR TDI and EQU risk</v>
          </cell>
        </row>
        <row r="30">
          <cell r="D30" t="str">
            <v>Approach for specific risk for correlation trading portfolio</v>
          </cell>
          <cell r="I30" t="str">
            <v>Financial collateral comprehesive method SA</v>
          </cell>
          <cell r="K30" t="str">
            <v>Regulated financial entities not large</v>
          </cell>
          <cell r="P30" t="str">
            <v>PORTUGAL</v>
          </cell>
          <cell r="U30">
            <v>1</v>
          </cell>
          <cell r="W30" t="str">
            <v>Financial assets designated at fair value through profit or loss. Accounting mismatch, Financial liabilities designated at fair value through profit or loss. Accounting mismatch</v>
          </cell>
          <cell r="AB30" t="str">
            <v>Other risk</v>
          </cell>
        </row>
        <row r="31">
          <cell r="D31" t="str">
            <v>CR IRB - PD, LGD and M approach, dilution risk</v>
          </cell>
          <cell r="I31" t="str">
            <v>Funded credit derivatives total mitigation</v>
          </cell>
          <cell r="K31" t="str">
            <v>Financial entities</v>
          </cell>
          <cell r="P31" t="str">
            <v>ROMANIA</v>
          </cell>
          <cell r="U31">
            <v>0.12</v>
          </cell>
          <cell r="W31" t="str">
            <v>Financial assets designated at fair value through profit or loss. Evaluation on a fair value basis, Financial liabilities designated at fair value through profit or loss. Evaluation on a fair value basis</v>
          </cell>
          <cell r="AB31" t="str">
            <v>Large exposures risk</v>
          </cell>
        </row>
        <row r="32">
          <cell r="D32" t="str">
            <v>Standardised approach for foreign-exchange risk</v>
          </cell>
          <cell r="I32" t="str">
            <v>CRM techniques LGD adjustment effect</v>
          </cell>
          <cell r="K32" t="str">
            <v>Households. Retail</v>
          </cell>
          <cell r="P32" t="str">
            <v>SERBIA</v>
          </cell>
          <cell r="U32" t="str">
            <v>7 - 10%</v>
          </cell>
          <cell r="W32" t="str">
            <v>Financial assets designated at fair value through profit or loss. Hybrid contracts designated, Financial liabilities designated at fair value through profit or loss. Hybrid contracts designated</v>
          </cell>
          <cell r="AB32" t="str">
            <v>Risk of fixed overheads</v>
          </cell>
        </row>
        <row r="33">
          <cell r="D33" t="str">
            <v>MKR FX approach</v>
          </cell>
          <cell r="I33" t="str">
            <v>Unfunded credit protection - LGD adjustment effect</v>
          </cell>
          <cell r="K33" t="str">
            <v>Other than entities of the financial sector</v>
          </cell>
          <cell r="P33" t="str">
            <v>RUSSIAN FEDERATION</v>
          </cell>
          <cell r="U33" t="str">
            <v>12 - 18%</v>
          </cell>
          <cell r="W33" t="str">
            <v>Property, plant and equipment. Revaluation model</v>
          </cell>
          <cell r="AB33" t="str">
            <v>Operational risk</v>
          </cell>
        </row>
        <row r="34">
          <cell r="D34" t="str">
            <v>Standardised Approach, IRB Approach</v>
          </cell>
          <cell r="I34" t="str">
            <v>Funded credit protection - LGD adjustment effect</v>
          </cell>
          <cell r="K34" t="str">
            <v>Households</v>
          </cell>
          <cell r="P34" t="str">
            <v>SWEDEN</v>
          </cell>
          <cell r="U34" t="str">
            <v>20 - 35%</v>
          </cell>
          <cell r="W34" t="str">
            <v>Investment property. Fair value model</v>
          </cell>
          <cell r="AB34" t="str">
            <v>MKR TDI risk</v>
          </cell>
        </row>
        <row r="35">
          <cell r="D35" t="str">
            <v>CR SA</v>
          </cell>
          <cell r="I35" t="str">
            <v>Other elligible collateral under the IRB approach</v>
          </cell>
          <cell r="K35" t="str">
            <v>Counterparties other than financial corporations</v>
          </cell>
          <cell r="P35" t="str">
            <v>SLOVENIA</v>
          </cell>
          <cell r="U35" t="str">
            <v>40 - 75%</v>
          </cell>
          <cell r="W35" t="str">
            <v>Other non-trading non-derivative financial assets</v>
          </cell>
          <cell r="AB35" t="str">
            <v>MKR TDI General risk</v>
          </cell>
        </row>
        <row r="36">
          <cell r="D36" t="str">
            <v>Standardised Approaches for operational risk</v>
          </cell>
          <cell r="I36" t="str">
            <v>Financial collateral LGD adjustment effect</v>
          </cell>
          <cell r="K36" t="str">
            <v xml:space="preserve">Financial corporations. Other than credit institutions. Small and Medium Enterprises, Non-financial corporations. Small and Medium Enterprises, Households. Small and Medium Enterprises </v>
          </cell>
          <cell r="P36" t="str">
            <v>SLOVAKIA</v>
          </cell>
          <cell r="U36">
            <v>12.5</v>
          </cell>
          <cell r="W36" t="str">
            <v>Measurement for Intangible assets. Other than Goodwill. Revaluation model</v>
          </cell>
          <cell r="AB36" t="str">
            <v>MKR TDI Specific risk</v>
          </cell>
        </row>
        <row r="37">
          <cell r="D37" t="str">
            <v>Method for IRB - Equity - PD/LGD approach</v>
          </cell>
          <cell r="I37" t="str">
            <v>Real estate excluding inmovable property for which alternative treatment is used</v>
          </cell>
          <cell r="K37" t="str">
            <v>Default funds</v>
          </cell>
          <cell r="P37" t="str">
            <v>TR</v>
          </cell>
          <cell r="U37">
            <v>2</v>
          </cell>
          <cell r="W37" t="str">
            <v>Property, plant and equipment. Deemed cost, Investment property. Deemed cost</v>
          </cell>
          <cell r="AB37" t="str">
            <v>MKR not look-through CIUs risk</v>
          </cell>
        </row>
        <row r="38">
          <cell r="D38" t="str">
            <v>Method for IRB - Equity - Simple Risk Weight approach</v>
          </cell>
          <cell r="I38" t="str">
            <v>Other physical collateral eligible for CRM under IRB approach</v>
          </cell>
          <cell r="K38" t="str">
            <v>Counterparties other than central banks</v>
          </cell>
          <cell r="P38" t="str">
            <v>UKRAINE</v>
          </cell>
          <cell r="U38">
            <v>2.25</v>
          </cell>
          <cell r="W38" t="str">
            <v>Financial liabilities held for trading
Trading financial liabilities
Financial liabilities designated at fair value through profit or loss</v>
          </cell>
          <cell r="AB38" t="str">
            <v>MKR EQU risk</v>
          </cell>
        </row>
        <row r="39">
          <cell r="D39" t="str">
            <v>Method for IRB - Equity - Internal models approach</v>
          </cell>
          <cell r="I39" t="str">
            <v>Receivables eligible for CRM under IRB approach</v>
          </cell>
          <cell r="P39" t="str">
            <v>UNITED KINGDOM</v>
          </cell>
          <cell r="U39">
            <v>3</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I40" t="str">
            <v>CRM techniques double default treatment</v>
          </cell>
          <cell r="P40" t="str">
            <v>UNITED STATES</v>
          </cell>
          <cell r="U40">
            <v>3.5</v>
          </cell>
          <cell r="W40" t="str">
            <v>Trading book</v>
          </cell>
        </row>
        <row r="41">
          <cell r="D41" t="str">
            <v>CR Foundation IRB Approach</v>
          </cell>
          <cell r="I41" t="str">
            <v>Secured by commercial real state</v>
          </cell>
          <cell r="P41" t="str">
            <v>Not applicable/All geographical areas</v>
          </cell>
          <cell r="U41">
            <v>4.25</v>
          </cell>
          <cell r="W41" t="str">
            <v>Financial assets designated at fair value through profit or loss</v>
          </cell>
        </row>
        <row r="42">
          <cell r="D42" t="str">
            <v>CR IRB Approach</v>
          </cell>
          <cell r="I42" t="str">
            <v>Secured by mortgage of residential  properties</v>
          </cell>
          <cell r="P42" t="str">
            <v>Domestic</v>
          </cell>
          <cell r="U42">
            <v>0.02</v>
          </cell>
          <cell r="W42" t="str">
            <v>Banking and trading book</v>
          </cell>
        </row>
        <row r="43">
          <cell r="D43" t="str">
            <v>CR SA SEC Ratings Based Method</v>
          </cell>
          <cell r="P43" t="str">
            <v>Non-domestic</v>
          </cell>
          <cell r="U43">
            <v>5</v>
          </cell>
          <cell r="W43" t="str">
            <v>Accounting portfolios for equity instruments subject to impairment</v>
          </cell>
        </row>
        <row r="44">
          <cell r="D44" t="str">
            <v>CR SA SEC Look-Through Approach</v>
          </cell>
          <cell r="P44" t="str">
            <v>Non-Domestic. Countries other than EU</v>
          </cell>
          <cell r="U44">
            <v>6.5</v>
          </cell>
          <cell r="W44" t="str">
            <v>Accounting portfolios for debt instruments subject to impairment</v>
          </cell>
        </row>
        <row r="45">
          <cell r="D45" t="str">
            <v>CR IRB SEC Ratings Based Method</v>
          </cell>
          <cell r="P45" t="str">
            <v>Non-Domestic. EMU countries</v>
          </cell>
          <cell r="U45">
            <v>7.5</v>
          </cell>
          <cell r="W45" t="str">
            <v>Loans and receivables, Classified as held for sale</v>
          </cell>
        </row>
        <row r="46">
          <cell r="D46" t="str">
            <v>Alternative Standardised Approach</v>
          </cell>
          <cell r="P46" t="str">
            <v>Non-Domestic. EU countries other than EMU</v>
          </cell>
          <cell r="U46">
            <v>8.5</v>
          </cell>
          <cell r="W46" t="str">
            <v>Hedge accounting</v>
          </cell>
        </row>
        <row r="47">
          <cell r="D47" t="str">
            <v>MKR SA and MKR IM</v>
          </cell>
          <cell r="P47" t="str">
            <v>Countries not relevant for MKR purposes</v>
          </cell>
          <cell r="U47" t="str">
            <v>Risk weights other for CR SA</v>
          </cell>
          <cell r="W47" t="str">
            <v>Hedge accounting. Interest rate risk</v>
          </cell>
        </row>
        <row r="48">
          <cell r="D48" t="str">
            <v>Standardised approaches for market risk</v>
          </cell>
          <cell r="U48" t="str">
            <v>Risk weights other for MKR SA CTP</v>
          </cell>
          <cell r="W48" t="str">
            <v>Financial assets held for trading. Economic hedges, Financial liabilities held for trading. Economic hedges</v>
          </cell>
        </row>
        <row r="49">
          <cell r="D49" t="str">
            <v>Standardised approaches for interest rate risk</v>
          </cell>
          <cell r="U49">
            <v>1.9</v>
          </cell>
          <cell r="W49" t="str">
            <v>Hedge accounting. Fair value hedges</v>
          </cell>
        </row>
        <row r="50">
          <cell r="D50" t="str">
            <v>Total</v>
          </cell>
          <cell r="U50">
            <v>2.9</v>
          </cell>
          <cell r="W50" t="str">
            <v>Hedge accounting. Cash flow hedges</v>
          </cell>
        </row>
        <row r="51">
          <cell r="D51" t="str">
            <v>Total</v>
          </cell>
          <cell r="U51">
            <v>3.7</v>
          </cell>
          <cell r="W51" t="str">
            <v>Hedge accounting. Hedges of net investments in foreign operations</v>
          </cell>
        </row>
        <row r="52">
          <cell r="D52" t="str">
            <v>Advanced method</v>
          </cell>
          <cell r="U52" t="str">
            <v>Zone 1 risk weights for MKR SA TDI general duration-based approach</v>
          </cell>
          <cell r="W52" t="str">
            <v>Hedge accounting. Portfolio Fair value hedges of interest rate risk</v>
          </cell>
        </row>
        <row r="53">
          <cell r="D53" t="str">
            <v>Standardised Method</v>
          </cell>
          <cell r="U53" t="str">
            <v>Zone 2 risk weights for MKR SA TDI general duration-based approach</v>
          </cell>
          <cell r="W53" t="str">
            <v>Available-for-sale financial assets</v>
          </cell>
        </row>
        <row r="54">
          <cell r="D54" t="str">
            <v>CR Method for IRB - Equity</v>
          </cell>
          <cell r="U54">
            <v>0.1</v>
          </cell>
          <cell r="W54" t="str">
            <v>Hedge accounting. Portfolio Cash flow hedges of interest rate risk</v>
          </cell>
        </row>
        <row r="55">
          <cell r="D55" t="str">
            <v>Advanced Measurement Approach</v>
          </cell>
          <cell r="U55" t="str">
            <v>Zone 3 risk weights for MKR SA TDI general duration-based approach</v>
          </cell>
          <cell r="W55" t="str">
            <v>Investment property. Fair value model, Property, plan and equipment. Fair value model</v>
          </cell>
        </row>
        <row r="56">
          <cell r="D56" t="str">
            <v>Standardised Approach</v>
          </cell>
          <cell r="U56" t="str">
            <v>Reference percentages according to specific reporting obligation</v>
          </cell>
          <cell r="W56" t="str">
            <v>Financial assets held for trading, Trading financial assets</v>
          </cell>
        </row>
        <row r="57">
          <cell r="D57" t="str">
            <v>Standardised Approach - Exposures other than securitisations</v>
          </cell>
          <cell r="U57">
            <v>0.35</v>
          </cell>
          <cell r="W57" t="str">
            <v>Investment property</v>
          </cell>
        </row>
        <row r="58">
          <cell r="D58" t="str">
            <v>Standardised Approach - Securitisation exposures</v>
          </cell>
          <cell r="U58">
            <v>0.9</v>
          </cell>
          <cell r="W58" t="str">
            <v>Accounting portfolios at fair value for financial assets</v>
          </cell>
        </row>
        <row r="59">
          <cell r="D59" t="str">
            <v>IRB Approach</v>
          </cell>
          <cell r="U59">
            <v>0.7</v>
          </cell>
          <cell r="W59" t="str">
            <v>Accounting portfolios at a cost-based method for financial assets</v>
          </cell>
        </row>
        <row r="60">
          <cell r="D60" t="str">
            <v>Advanced IRB Approach - Exposures other than equities and securitisations</v>
          </cell>
          <cell r="U60">
            <v>0.75</v>
          </cell>
          <cell r="W60" t="str">
            <v>Accounting portfolios not measured at fair value through profit or loss for financial instruments</v>
          </cell>
        </row>
        <row r="61">
          <cell r="D61" t="str">
            <v>Foundation IRB Approach - Exposures other than equities and securitisations</v>
          </cell>
          <cell r="U61">
            <v>1.1499999999999999</v>
          </cell>
          <cell r="W61" t="str">
            <v>Accounting portfolios for non-trading financial instruments not included in IFRS</v>
          </cell>
        </row>
        <row r="62">
          <cell r="D62" t="str">
            <v>IRB approach - Equity</v>
          </cell>
          <cell r="U62" t="str">
            <v>&gt;0% and &lt;=20%</v>
          </cell>
          <cell r="W62" t="str">
            <v>Accounting portfolios for financial assets subject to impairment</v>
          </cell>
        </row>
        <row r="63">
          <cell r="D63" t="str">
            <v>IRB approach - Securitisation exposures</v>
          </cell>
          <cell r="U63" t="str">
            <v>&gt;20% and &lt;=50%</v>
          </cell>
          <cell r="W63" t="str">
            <v>Accounting portfolios for financial assets non-subject to impairment</v>
          </cell>
        </row>
        <row r="64">
          <cell r="D64" t="str">
            <v>Methods using external ratings</v>
          </cell>
          <cell r="U64" t="str">
            <v>Off-balance sheet items with a 100% CCF in the RSA</v>
          </cell>
          <cell r="W64" t="str">
            <v>Accounting portfolios for non-trading financial instruments</v>
          </cell>
        </row>
        <row r="65">
          <cell r="D65" t="str">
            <v>1250% for positions not subject to any method</v>
          </cell>
          <cell r="U65" t="str">
            <v>Off-balance sheet items with a 50% CCF in the RSA</v>
          </cell>
          <cell r="W65" t="str">
            <v>Non-trading non-derivative financial assets measured at fair value through profit or loss</v>
          </cell>
        </row>
        <row r="66">
          <cell r="D66" t="str">
            <v>Advanced measurement approaches</v>
          </cell>
          <cell r="U66" t="str">
            <v>RW_ &gt; 0 and ≤ 12%</v>
          </cell>
          <cell r="W66" t="str">
            <v>Accounting portfolios for trading financial instruments</v>
          </cell>
        </row>
        <row r="67">
          <cell r="D67" t="str">
            <v>Look-Through-Approach</v>
          </cell>
          <cell r="U67" t="str">
            <v>RW_&gt; 100 and ≤ 425%</v>
          </cell>
          <cell r="W67" t="str">
            <v>Non-trading non-derivative financial assets measured at fair value to equity</v>
          </cell>
        </row>
        <row r="68">
          <cell r="D68" t="str">
            <v>Internal Assessment Approach</v>
          </cell>
          <cell r="U68" t="str">
            <v>RW_&gt; 12 and ≤ 20%</v>
          </cell>
          <cell r="W68" t="str">
            <v>Investments in subsidiaries, joint ventures and associates</v>
          </cell>
        </row>
        <row r="69">
          <cell r="D69" t="str">
            <v>Original Exposure Method</v>
          </cell>
          <cell r="U69" t="str">
            <v>RW_&gt; 20 and ≤ 50%</v>
          </cell>
          <cell r="W69" t="str">
            <v>Loans and receivables</v>
          </cell>
        </row>
        <row r="70">
          <cell r="D70" t="str">
            <v>Standardised and IRB Approaches - Exposures other than securitisations and equities</v>
          </cell>
          <cell r="U70" t="str">
            <v>RW_&gt; 425 and ≤ 1250%</v>
          </cell>
          <cell r="W70" t="str">
            <v>Property, plant and equipment. Fair value model</v>
          </cell>
        </row>
        <row r="71">
          <cell r="D71" t="str">
            <v>Maturity-based approach</v>
          </cell>
          <cell r="U71" t="str">
            <v>RW_&gt; 50 and ≤ 75%</v>
          </cell>
          <cell r="W71" t="str">
            <v>Property, plant and equipment. Deemed cost</v>
          </cell>
        </row>
        <row r="72">
          <cell r="D72" t="str">
            <v>Approaches for general risk for debt instruments</v>
          </cell>
          <cell r="U72" t="str">
            <v>RW_&gt; 75 and ≤ 100%</v>
          </cell>
          <cell r="W72" t="str">
            <v>Investment property. Deemed cost</v>
          </cell>
        </row>
        <row r="73">
          <cell r="D73" t="str">
            <v>External rating not available</v>
          </cell>
          <cell r="W73" t="str">
            <v>Financial liabilities held for trading, Trading financial liabilities</v>
          </cell>
        </row>
        <row r="74">
          <cell r="D74" t="str">
            <v>Methods to calculate risk weights do not apply</v>
          </cell>
          <cell r="W74" t="str">
            <v>Financial liabilities designated at fair value through profit or loss. Hybrid contracts designated</v>
          </cell>
        </row>
        <row r="75">
          <cell r="D75" t="str">
            <v>Risk weighted exposure amounts calculated using PD, LGD and M</v>
          </cell>
          <cell r="W75" t="str">
            <v>Financial liabilities designated at fair value through profit or loss. Evaluation on a fair value basis</v>
          </cell>
        </row>
        <row r="76">
          <cell r="D76" t="str">
            <v>IRB Risk weighted exposure amounts calculated using RW</v>
          </cell>
          <cell r="W76" t="str">
            <v>Financial liabilities designated at fair value through profit or loss. Accounting mismatch</v>
          </cell>
        </row>
        <row r="77">
          <cell r="D77" t="str">
            <v>Add-on Mark-to market value</v>
          </cell>
          <cell r="W77" t="str">
            <v>Financial assets designated at fair value through profit or loss. Hybrid contracts designated</v>
          </cell>
        </row>
        <row r="78">
          <cell r="D78" t="str">
            <v>Add-on Mark-to-market method - Method 2</v>
          </cell>
          <cell r="W78" t="str">
            <v>Financial assets designated at fair value through profit or loss. Evaluation on a fair value basis</v>
          </cell>
        </row>
        <row r="79">
          <cell r="D79" t="str">
            <v>Add-on Mark-to-market method (assuming no netting or CRM)</v>
          </cell>
          <cell r="W79" t="str">
            <v>Classified as held for sale</v>
          </cell>
        </row>
        <row r="80">
          <cell r="D80" t="str">
            <v>Covered by a netting agreement</v>
          </cell>
          <cell r="W80" t="str">
            <v>Financial assets designated at fair value through profit or loss. Accounting mismatch</v>
          </cell>
        </row>
        <row r="81">
          <cell r="D81" t="str">
            <v>LR-netting-Method2</v>
          </cell>
          <cell r="W81" t="str">
            <v>Holdings</v>
          </cell>
        </row>
        <row r="82">
          <cell r="D82" t="str">
            <v>LR-netting-Method3</v>
          </cell>
          <cell r="W82" t="str">
            <v>Direct holdings</v>
          </cell>
        </row>
        <row r="83">
          <cell r="D83" t="str">
            <v>Market value</v>
          </cell>
          <cell r="W83" t="str">
            <v>Indirect holdings</v>
          </cell>
        </row>
        <row r="84">
          <cell r="D84" t="str">
            <v>Without a netting agreement</v>
          </cell>
          <cell r="W84" t="str">
            <v>Synthetic holdings</v>
          </cell>
        </row>
        <row r="85">
          <cell r="D85" t="str">
            <v>Without netting</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detail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9.00"/>
      <sheetName val="T01.00"/>
      <sheetName val="T02.00"/>
      <sheetName val="T03.01"/>
      <sheetName val="T03.02"/>
      <sheetName val="T03.03"/>
      <sheetName val="T04.00"/>
      <sheetName val="T05.00"/>
      <sheetName val="T06.00"/>
      <sheetName val="T07.00"/>
      <sheetName val="T08.00"/>
      <sheetName val="Lists"/>
    </sheetNames>
    <sheetDataSet>
      <sheetData sheetId="0"/>
      <sheetData sheetId="1"/>
      <sheetData sheetId="2"/>
      <sheetData sheetId="3"/>
      <sheetData sheetId="4"/>
      <sheetData sheetId="5"/>
      <sheetData sheetId="6"/>
      <sheetData sheetId="7"/>
      <sheetData sheetId="8"/>
      <sheetData sheetId="9"/>
      <sheetData sheetId="10"/>
      <sheetData sheetId="11">
        <row r="2">
          <cell r="B2" t="str">
            <v>AUSTRIA</v>
          </cell>
        </row>
        <row r="3">
          <cell r="B3" t="str">
            <v>BELGIUM</v>
          </cell>
        </row>
        <row r="4">
          <cell r="B4" t="str">
            <v>BULGARIA</v>
          </cell>
        </row>
        <row r="5">
          <cell r="B5" t="str">
            <v>CROATIA</v>
          </cell>
        </row>
        <row r="6">
          <cell r="B6" t="str">
            <v>CYPRUS</v>
          </cell>
        </row>
        <row r="7">
          <cell r="B7" t="str">
            <v>CZECH REPUBLIC</v>
          </cell>
        </row>
        <row r="8">
          <cell r="B8" t="str">
            <v>DENMARK</v>
          </cell>
        </row>
        <row r="9">
          <cell r="B9" t="str">
            <v>ESTONIA</v>
          </cell>
        </row>
        <row r="10">
          <cell r="B10" t="str">
            <v>FINLAND</v>
          </cell>
        </row>
        <row r="11">
          <cell r="B11" t="str">
            <v>FRANCE</v>
          </cell>
        </row>
        <row r="12">
          <cell r="B12" t="str">
            <v>GERMANY</v>
          </cell>
        </row>
        <row r="13">
          <cell r="B13" t="str">
            <v>GREECE</v>
          </cell>
        </row>
        <row r="14">
          <cell r="B14" t="str">
            <v>HUNGARY</v>
          </cell>
        </row>
        <row r="15">
          <cell r="B15" t="str">
            <v>IRELAND</v>
          </cell>
        </row>
        <row r="16">
          <cell r="B16" t="str">
            <v>ITALY</v>
          </cell>
        </row>
        <row r="17">
          <cell r="B17" t="str">
            <v>LATVIA</v>
          </cell>
        </row>
        <row r="18">
          <cell r="B18" t="str">
            <v>LITHUANIA</v>
          </cell>
        </row>
        <row r="19">
          <cell r="B19" t="str">
            <v>LUXEMBOURG</v>
          </cell>
        </row>
        <row r="20">
          <cell r="B20" t="str">
            <v>MALTA</v>
          </cell>
        </row>
        <row r="21">
          <cell r="B21" t="str">
            <v>NETHERLANDS</v>
          </cell>
        </row>
        <row r="22">
          <cell r="B22" t="str">
            <v>POLAND</v>
          </cell>
        </row>
        <row r="23">
          <cell r="B23" t="str">
            <v>PORTUGAL</v>
          </cell>
        </row>
        <row r="24">
          <cell r="B24" t="str">
            <v>ROMANIA</v>
          </cell>
        </row>
        <row r="25">
          <cell r="B25" t="str">
            <v>SLOVAKIA</v>
          </cell>
        </row>
        <row r="26">
          <cell r="B26" t="str">
            <v>SLOVENIA</v>
          </cell>
        </row>
        <row r="27">
          <cell r="B27" t="str">
            <v>SPAIN</v>
          </cell>
        </row>
        <row r="28">
          <cell r="B28" t="str">
            <v>SWEDEN</v>
          </cell>
        </row>
        <row r="29">
          <cell r="B29" t="str">
            <v>UNITED KINGDOM</v>
          </cell>
        </row>
      </sheetData>
    </sheetDataSet>
  </externalBook>
</externalLink>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fynskebank.dk/" TargetMode="External"/><Relationship Id="rId1" Type="http://schemas.openxmlformats.org/officeDocument/2006/relationships/hyperlink" Target="mailto:post@fynskebank.d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8D446-E472-445F-8749-E999FE6DC5EF}">
  <dimension ref="B2:G32"/>
  <sheetViews>
    <sheetView showGridLines="0" tabSelected="1" zoomScaleNormal="100" workbookViewId="0">
      <selection activeCell="B2" sqref="B2"/>
    </sheetView>
  </sheetViews>
  <sheetFormatPr defaultRowHeight="15" x14ac:dyDescent="0.25"/>
  <cols>
    <col min="2" max="2" width="11.7109375" customWidth="1"/>
    <col min="3" max="3" width="8.42578125" customWidth="1"/>
    <col min="4" max="4" width="24.7109375" customWidth="1"/>
    <col min="7" max="7" width="14.140625" customWidth="1"/>
  </cols>
  <sheetData>
    <row r="2" spans="2:7" ht="18.75" x14ac:dyDescent="0.3">
      <c r="B2" s="759" t="s">
        <v>1237</v>
      </c>
      <c r="C2" s="759"/>
      <c r="D2" s="86"/>
    </row>
    <row r="3" spans="2:7" ht="8.25" customHeight="1" x14ac:dyDescent="0.3">
      <c r="B3" s="759"/>
      <c r="C3" s="759"/>
      <c r="D3" s="86"/>
    </row>
    <row r="4" spans="2:7" ht="15.75" x14ac:dyDescent="0.25">
      <c r="B4" s="760" t="s">
        <v>1465</v>
      </c>
      <c r="C4" s="760"/>
    </row>
    <row r="5" spans="2:7" ht="15.75" x14ac:dyDescent="0.25">
      <c r="B5" s="761" t="s">
        <v>1466</v>
      </c>
      <c r="C5" s="761"/>
      <c r="D5" s="762" t="s">
        <v>1481</v>
      </c>
    </row>
    <row r="6" spans="2:7" ht="15.75" x14ac:dyDescent="0.25">
      <c r="B6" s="761" t="s">
        <v>1467</v>
      </c>
      <c r="C6" s="761"/>
      <c r="D6" s="762">
        <v>6850</v>
      </c>
    </row>
    <row r="7" spans="2:7" ht="15.75" x14ac:dyDescent="0.25">
      <c r="B7" s="761" t="s">
        <v>1468</v>
      </c>
      <c r="C7" s="761"/>
      <c r="D7" s="762" t="s">
        <v>1482</v>
      </c>
    </row>
    <row r="8" spans="2:7" ht="15.75" x14ac:dyDescent="0.25">
      <c r="B8" s="761" t="s">
        <v>1469</v>
      </c>
      <c r="C8" s="761"/>
      <c r="D8" s="762" t="s">
        <v>1489</v>
      </c>
    </row>
    <row r="9" spans="2:7" ht="15.75" x14ac:dyDescent="0.25">
      <c r="B9" s="761" t="s">
        <v>1470</v>
      </c>
      <c r="C9" s="761"/>
      <c r="D9" s="762" t="s">
        <v>1483</v>
      </c>
    </row>
    <row r="10" spans="2:7" ht="15.75" x14ac:dyDescent="0.25">
      <c r="B10" s="761" t="s">
        <v>1471</v>
      </c>
      <c r="C10" s="761"/>
      <c r="D10" s="767" t="s">
        <v>1484</v>
      </c>
    </row>
    <row r="11" spans="2:7" ht="15.75" x14ac:dyDescent="0.25">
      <c r="B11" s="761" t="s">
        <v>1472</v>
      </c>
      <c r="C11" s="761"/>
      <c r="D11" s="767" t="s">
        <v>1485</v>
      </c>
    </row>
    <row r="12" spans="2:7" ht="15.75" x14ac:dyDescent="0.25">
      <c r="B12" s="761"/>
      <c r="C12" s="761"/>
      <c r="D12" s="762"/>
    </row>
    <row r="13" spans="2:7" ht="15.75" x14ac:dyDescent="0.25">
      <c r="B13" s="761"/>
      <c r="C13" s="761"/>
      <c r="D13" s="762"/>
    </row>
    <row r="14" spans="2:7" ht="18.75" x14ac:dyDescent="0.3">
      <c r="B14" s="86" t="s">
        <v>1473</v>
      </c>
      <c r="C14" s="86"/>
      <c r="D14" s="762"/>
    </row>
    <row r="15" spans="2:7" ht="104.25" customHeight="1" x14ac:dyDescent="0.25">
      <c r="B15" s="924" t="s">
        <v>1474</v>
      </c>
      <c r="C15" s="924"/>
      <c r="D15" s="924"/>
      <c r="E15" s="924"/>
      <c r="F15" s="924"/>
      <c r="G15" s="924"/>
    </row>
    <row r="16" spans="2:7" ht="46.5" customHeight="1" x14ac:dyDescent="0.25">
      <c r="B16" s="925" t="s">
        <v>1475</v>
      </c>
      <c r="C16" s="925"/>
      <c r="D16" s="926"/>
      <c r="E16" s="926"/>
      <c r="F16" s="926"/>
      <c r="G16" s="926"/>
    </row>
    <row r="17" spans="2:7" ht="15.75" x14ac:dyDescent="0.25">
      <c r="C17" s="763" t="s">
        <v>1476</v>
      </c>
      <c r="D17" s="762"/>
    </row>
    <row r="18" spans="2:7" ht="15.75" x14ac:dyDescent="0.25">
      <c r="C18" s="763" t="s">
        <v>1477</v>
      </c>
      <c r="D18" s="762"/>
    </row>
    <row r="19" spans="2:7" ht="9.75" customHeight="1" x14ac:dyDescent="0.25">
      <c r="C19" s="763"/>
      <c r="D19" s="762"/>
    </row>
    <row r="20" spans="2:7" ht="15.75" x14ac:dyDescent="0.25">
      <c r="B20" s="761" t="s">
        <v>1478</v>
      </c>
      <c r="C20" s="761"/>
      <c r="D20" s="762"/>
    </row>
    <row r="21" spans="2:7" ht="49.5" customHeight="1" x14ac:dyDescent="0.25">
      <c r="B21" s="764" t="s">
        <v>1479</v>
      </c>
      <c r="C21" s="927" t="s">
        <v>1584</v>
      </c>
      <c r="D21" s="927"/>
      <c r="E21" s="927"/>
      <c r="F21" s="927"/>
      <c r="G21" s="927"/>
    </row>
    <row r="22" spans="2:7" ht="66.75" customHeight="1" x14ac:dyDescent="0.25">
      <c r="B22" s="764" t="s">
        <v>1480</v>
      </c>
      <c r="C22" s="928" t="s">
        <v>1486</v>
      </c>
      <c r="D22" s="926"/>
      <c r="E22" s="926"/>
      <c r="F22" s="926"/>
      <c r="G22" s="926"/>
    </row>
    <row r="24" spans="2:7" ht="18.75" x14ac:dyDescent="0.3">
      <c r="B24" s="86"/>
      <c r="C24" s="86"/>
    </row>
    <row r="25" spans="2:7" ht="149.25" customHeight="1" x14ac:dyDescent="0.25">
      <c r="B25" s="929"/>
      <c r="C25" s="929"/>
      <c r="D25" s="930"/>
      <c r="E25" s="930"/>
      <c r="F25" s="930"/>
      <c r="G25" s="930"/>
    </row>
    <row r="26" spans="2:7" x14ac:dyDescent="0.25">
      <c r="B26" s="765"/>
      <c r="C26" s="765"/>
    </row>
    <row r="27" spans="2:7" x14ac:dyDescent="0.25">
      <c r="B27" s="766"/>
      <c r="C27" s="766"/>
    </row>
    <row r="28" spans="2:7" ht="15.75" x14ac:dyDescent="0.25">
      <c r="B28" s="761"/>
      <c r="C28" s="761"/>
    </row>
    <row r="29" spans="2:7" ht="15.75" x14ac:dyDescent="0.25">
      <c r="B29" s="761"/>
      <c r="C29" s="761"/>
    </row>
    <row r="30" spans="2:7" ht="15.75" x14ac:dyDescent="0.25">
      <c r="B30" s="761"/>
      <c r="C30" s="761"/>
    </row>
    <row r="31" spans="2:7" ht="15.75" x14ac:dyDescent="0.25">
      <c r="B31" s="761"/>
      <c r="C31" s="761"/>
    </row>
    <row r="32" spans="2:7" ht="15.75" x14ac:dyDescent="0.25">
      <c r="B32" s="761"/>
      <c r="C32" s="761"/>
    </row>
  </sheetData>
  <mergeCells count="5">
    <mergeCell ref="B15:G15"/>
    <mergeCell ref="B16:G16"/>
    <mergeCell ref="C21:G21"/>
    <mergeCell ref="C22:G22"/>
    <mergeCell ref="B25:G25"/>
  </mergeCells>
  <hyperlinks>
    <hyperlink ref="D10" r:id="rId1" xr:uid="{C8C378B2-F62A-41BA-9E90-93A3677896FC}"/>
    <hyperlink ref="D11" r:id="rId2" xr:uid="{235F57A4-5E63-4445-B783-D62306D3149D}"/>
  </hyperlinks>
  <pageMargins left="0.70866141732283472" right="0.70866141732283472" top="0.74803149606299213" bottom="0.74803149606299213" header="0.31496062992125984" footer="0.31496062992125984"/>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B093C-AF16-473E-BDC2-05FDAFE13494}">
  <dimension ref="B2:G13"/>
  <sheetViews>
    <sheetView showGridLines="0" zoomScaleNormal="100" workbookViewId="0">
      <selection activeCell="B10" sqref="B10"/>
    </sheetView>
  </sheetViews>
  <sheetFormatPr defaultRowHeight="15" x14ac:dyDescent="0.25"/>
  <cols>
    <col min="2" max="2" width="11.7109375" customWidth="1"/>
    <col min="3" max="3" width="8.42578125" customWidth="1"/>
    <col min="4" max="4" width="24.7109375" customWidth="1"/>
    <col min="7" max="7" width="14.140625" customWidth="1"/>
  </cols>
  <sheetData>
    <row r="2" spans="2:7" ht="18.75" x14ac:dyDescent="0.3">
      <c r="B2" s="759" t="s">
        <v>1237</v>
      </c>
      <c r="C2" s="759"/>
      <c r="D2" s="86"/>
    </row>
    <row r="3" spans="2:7" ht="18.75" x14ac:dyDescent="0.3">
      <c r="B3" s="759"/>
      <c r="C3" s="759"/>
      <c r="D3" s="86"/>
    </row>
    <row r="5" spans="2:7" ht="18.75" x14ac:dyDescent="0.3">
      <c r="B5" s="86"/>
      <c r="C5" s="86"/>
    </row>
    <row r="6" spans="2:7" ht="149.25" customHeight="1" x14ac:dyDescent="0.25">
      <c r="B6" s="929" t="s">
        <v>1585</v>
      </c>
      <c r="C6" s="929"/>
      <c r="D6" s="930"/>
      <c r="E6" s="930"/>
      <c r="F6" s="930"/>
      <c r="G6" s="930"/>
    </row>
    <row r="7" spans="2:7" x14ac:dyDescent="0.25">
      <c r="B7" s="765"/>
      <c r="C7" s="765"/>
    </row>
    <row r="8" spans="2:7" x14ac:dyDescent="0.25">
      <c r="B8" s="766"/>
      <c r="C8" s="766"/>
    </row>
    <row r="9" spans="2:7" ht="15.75" x14ac:dyDescent="0.25">
      <c r="B9" s="761" t="s">
        <v>1586</v>
      </c>
      <c r="C9" s="761"/>
    </row>
    <row r="10" spans="2:7" ht="15.75" x14ac:dyDescent="0.25">
      <c r="B10" s="761"/>
      <c r="C10" s="761"/>
    </row>
    <row r="11" spans="2:7" ht="15.75" x14ac:dyDescent="0.25">
      <c r="B11" s="761"/>
      <c r="C11" s="761"/>
    </row>
    <row r="12" spans="2:7" ht="15.75" x14ac:dyDescent="0.25">
      <c r="B12" s="761" t="s">
        <v>1497</v>
      </c>
      <c r="C12" s="761"/>
    </row>
    <row r="13" spans="2:7" ht="15.75" x14ac:dyDescent="0.25">
      <c r="B13" s="761" t="s">
        <v>1487</v>
      </c>
      <c r="C13" s="761"/>
    </row>
  </sheetData>
  <mergeCells count="1">
    <mergeCell ref="B6:G6"/>
  </mergeCell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204DA-9310-4309-9060-407904CFC219}">
  <dimension ref="B2:K93"/>
  <sheetViews>
    <sheetView showGridLines="0" topLeftCell="A31" workbookViewId="0">
      <selection activeCell="B48" sqref="B48"/>
    </sheetView>
  </sheetViews>
  <sheetFormatPr defaultRowHeight="15" x14ac:dyDescent="0.25"/>
  <cols>
    <col min="2" max="2" width="9.5703125" bestFit="1" customWidth="1"/>
    <col min="3" max="3" width="106.28515625" customWidth="1"/>
  </cols>
  <sheetData>
    <row r="2" spans="2:9" ht="18.75" x14ac:dyDescent="0.3">
      <c r="B2" s="440"/>
      <c r="C2" s="769" t="s">
        <v>1244</v>
      </c>
      <c r="D2" s="770" t="s">
        <v>1243</v>
      </c>
      <c r="E2" s="440"/>
    </row>
    <row r="3" spans="2:9" x14ac:dyDescent="0.25">
      <c r="B3" s="290"/>
      <c r="C3" s="771" t="s">
        <v>1488</v>
      </c>
      <c r="D3" s="771"/>
      <c r="E3" s="772"/>
    </row>
    <row r="4" spans="2:9" x14ac:dyDescent="0.25">
      <c r="B4" s="773" t="s">
        <v>1283</v>
      </c>
      <c r="C4" s="774" t="s">
        <v>1351</v>
      </c>
      <c r="D4" s="775">
        <v>1</v>
      </c>
      <c r="E4" s="776"/>
    </row>
    <row r="5" spans="2:9" x14ac:dyDescent="0.25">
      <c r="B5" s="289" t="s">
        <v>1284</v>
      </c>
      <c r="C5" s="777" t="s">
        <v>1352</v>
      </c>
      <c r="D5" s="778">
        <v>2</v>
      </c>
      <c r="E5" s="779"/>
    </row>
    <row r="6" spans="2:9" x14ac:dyDescent="0.25">
      <c r="B6" s="290"/>
      <c r="C6" s="771" t="s">
        <v>1437</v>
      </c>
      <c r="D6" s="771"/>
      <c r="E6" s="772"/>
    </row>
    <row r="7" spans="2:9" ht="30" x14ac:dyDescent="0.25">
      <c r="B7" s="819" t="s">
        <v>1287</v>
      </c>
      <c r="C7" s="780" t="s">
        <v>1355</v>
      </c>
      <c r="D7" s="775">
        <v>3</v>
      </c>
      <c r="E7" s="781"/>
    </row>
    <row r="8" spans="2:9" x14ac:dyDescent="0.25">
      <c r="B8" s="782" t="s">
        <v>1288</v>
      </c>
      <c r="C8" s="783" t="s">
        <v>1356</v>
      </c>
      <c r="D8" s="784">
        <v>4</v>
      </c>
      <c r="E8" s="785"/>
    </row>
    <row r="9" spans="2:9" x14ac:dyDescent="0.25">
      <c r="B9" s="289" t="s">
        <v>1289</v>
      </c>
      <c r="C9" s="787" t="s">
        <v>1357</v>
      </c>
      <c r="D9" s="778">
        <v>5</v>
      </c>
      <c r="E9" s="779"/>
      <c r="I9" s="414"/>
    </row>
    <row r="10" spans="2:9" x14ac:dyDescent="0.25">
      <c r="B10" s="290"/>
      <c r="C10" s="771" t="s">
        <v>538</v>
      </c>
      <c r="D10" s="788"/>
      <c r="E10" s="772"/>
    </row>
    <row r="11" spans="2:9" x14ac:dyDescent="0.25">
      <c r="B11" s="773" t="s">
        <v>1291</v>
      </c>
      <c r="C11" s="789" t="s">
        <v>1359</v>
      </c>
      <c r="D11" s="775">
        <v>6</v>
      </c>
      <c r="E11" s="776"/>
    </row>
    <row r="12" spans="2:9" x14ac:dyDescent="0.25">
      <c r="B12" s="289" t="s">
        <v>1292</v>
      </c>
      <c r="C12" s="787" t="s">
        <v>1360</v>
      </c>
      <c r="D12" s="778">
        <v>7</v>
      </c>
      <c r="E12" s="779"/>
    </row>
    <row r="13" spans="2:9" x14ac:dyDescent="0.25">
      <c r="B13" s="290"/>
      <c r="C13" s="790" t="s">
        <v>63</v>
      </c>
      <c r="D13" s="788"/>
      <c r="E13" s="772"/>
    </row>
    <row r="14" spans="2:9" x14ac:dyDescent="0.25">
      <c r="B14" s="773" t="s">
        <v>1295</v>
      </c>
      <c r="C14" s="780" t="s">
        <v>1363</v>
      </c>
      <c r="D14" s="775">
        <v>8</v>
      </c>
      <c r="E14" s="776"/>
    </row>
    <row r="15" spans="2:9" x14ac:dyDescent="0.25">
      <c r="B15" s="782" t="s">
        <v>1296</v>
      </c>
      <c r="C15" s="786" t="s">
        <v>1364</v>
      </c>
      <c r="D15" s="784">
        <v>9</v>
      </c>
      <c r="E15" s="785"/>
    </row>
    <row r="16" spans="2:9" x14ac:dyDescent="0.25">
      <c r="B16" s="289" t="s">
        <v>1297</v>
      </c>
      <c r="C16" s="791" t="s">
        <v>1365</v>
      </c>
      <c r="D16" s="778">
        <v>10</v>
      </c>
      <c r="E16" s="779"/>
    </row>
    <row r="17" spans="2:9" x14ac:dyDescent="0.25">
      <c r="B17" s="290"/>
      <c r="C17" s="771" t="s">
        <v>1438</v>
      </c>
      <c r="D17" s="788"/>
      <c r="E17" s="772"/>
    </row>
    <row r="18" spans="2:9" x14ac:dyDescent="0.25">
      <c r="B18" s="773" t="s">
        <v>1298</v>
      </c>
      <c r="C18" s="789" t="s">
        <v>1366</v>
      </c>
      <c r="D18" s="775">
        <v>11</v>
      </c>
      <c r="E18" s="776"/>
      <c r="I18" s="414"/>
    </row>
    <row r="19" spans="2:9" x14ac:dyDescent="0.25">
      <c r="B19" s="289" t="s">
        <v>1299</v>
      </c>
      <c r="C19" s="787" t="s">
        <v>1367</v>
      </c>
      <c r="D19" s="778">
        <v>12</v>
      </c>
      <c r="E19" s="779"/>
    </row>
    <row r="20" spans="2:9" x14ac:dyDescent="0.25">
      <c r="B20" s="289"/>
      <c r="C20" s="771" t="s">
        <v>1496</v>
      </c>
      <c r="D20" s="778"/>
      <c r="E20" s="779"/>
    </row>
    <row r="21" spans="2:9" x14ac:dyDescent="0.25">
      <c r="B21" s="782" t="s">
        <v>1294</v>
      </c>
      <c r="C21" s="786" t="s">
        <v>1362</v>
      </c>
      <c r="D21" s="784">
        <v>13</v>
      </c>
      <c r="E21" s="785"/>
    </row>
    <row r="22" spans="2:9" x14ac:dyDescent="0.25">
      <c r="B22" s="290"/>
      <c r="C22" s="771" t="s">
        <v>1439</v>
      </c>
      <c r="D22" s="788"/>
      <c r="E22" s="772"/>
    </row>
    <row r="23" spans="2:9" x14ac:dyDescent="0.25">
      <c r="B23" s="773" t="s">
        <v>1300</v>
      </c>
      <c r="C23" s="789" t="s">
        <v>1368</v>
      </c>
      <c r="D23" s="775">
        <v>14</v>
      </c>
      <c r="E23" s="776"/>
    </row>
    <row r="24" spans="2:9" x14ac:dyDescent="0.25">
      <c r="B24" s="782" t="s">
        <v>1301</v>
      </c>
      <c r="C24" s="786" t="s">
        <v>1369</v>
      </c>
      <c r="D24" s="784">
        <v>15</v>
      </c>
      <c r="E24" s="785"/>
    </row>
    <row r="25" spans="2:9" x14ac:dyDescent="0.25">
      <c r="B25" s="782" t="s">
        <v>1302</v>
      </c>
      <c r="C25" s="786" t="s">
        <v>1370</v>
      </c>
      <c r="D25" s="784">
        <v>16</v>
      </c>
      <c r="E25" s="785"/>
    </row>
    <row r="26" spans="2:9" x14ac:dyDescent="0.25">
      <c r="B26" s="782" t="s">
        <v>1304</v>
      </c>
      <c r="C26" s="786" t="s">
        <v>1372</v>
      </c>
      <c r="D26" s="784">
        <v>17</v>
      </c>
      <c r="E26" s="785"/>
    </row>
    <row r="27" spans="2:9" x14ac:dyDescent="0.25">
      <c r="B27" s="782" t="s">
        <v>1306</v>
      </c>
      <c r="C27" s="786" t="s">
        <v>1374</v>
      </c>
      <c r="D27" s="784">
        <v>18</v>
      </c>
      <c r="E27" s="785"/>
    </row>
    <row r="28" spans="2:9" x14ac:dyDescent="0.25">
      <c r="B28" s="782" t="s">
        <v>1308</v>
      </c>
      <c r="C28" s="792" t="s">
        <v>1376</v>
      </c>
      <c r="D28" s="784">
        <v>19</v>
      </c>
      <c r="E28" s="785"/>
    </row>
    <row r="29" spans="2:9" x14ac:dyDescent="0.25">
      <c r="B29" s="290"/>
      <c r="C29" s="771" t="s">
        <v>1440</v>
      </c>
      <c r="D29" s="771"/>
      <c r="E29" s="772"/>
    </row>
    <row r="30" spans="2:9" x14ac:dyDescent="0.25">
      <c r="B30" s="290" t="s">
        <v>1312</v>
      </c>
      <c r="C30" s="793" t="s">
        <v>1380</v>
      </c>
      <c r="D30" s="788">
        <v>20</v>
      </c>
      <c r="E30" s="772"/>
    </row>
    <row r="31" spans="2:9" x14ac:dyDescent="0.25">
      <c r="B31" s="290" t="s">
        <v>1313</v>
      </c>
      <c r="C31" s="771" t="s">
        <v>1441</v>
      </c>
      <c r="D31" s="771"/>
      <c r="E31" s="772"/>
    </row>
    <row r="32" spans="2:9" x14ac:dyDescent="0.25">
      <c r="B32" s="773" t="s">
        <v>1314</v>
      </c>
      <c r="C32" s="780" t="s">
        <v>1381</v>
      </c>
      <c r="D32" s="775">
        <v>21</v>
      </c>
      <c r="E32" s="776"/>
    </row>
    <row r="33" spans="2:9" x14ac:dyDescent="0.25">
      <c r="B33" s="289" t="s">
        <v>1315</v>
      </c>
      <c r="C33" s="37" t="s">
        <v>1382</v>
      </c>
      <c r="D33" s="778">
        <v>22</v>
      </c>
      <c r="E33" s="779"/>
    </row>
    <row r="34" spans="2:9" x14ac:dyDescent="0.25">
      <c r="B34" s="290" t="s">
        <v>1313</v>
      </c>
      <c r="C34" s="771" t="s">
        <v>1442</v>
      </c>
      <c r="D34" s="771"/>
      <c r="E34" s="772"/>
    </row>
    <row r="35" spans="2:9" x14ac:dyDescent="0.25">
      <c r="B35" s="782" t="s">
        <v>1325</v>
      </c>
      <c r="C35" s="792" t="s">
        <v>1392</v>
      </c>
      <c r="D35" s="784">
        <v>23</v>
      </c>
      <c r="E35" s="785"/>
    </row>
    <row r="36" spans="2:9" x14ac:dyDescent="0.25">
      <c r="B36" s="782" t="s">
        <v>1326</v>
      </c>
      <c r="C36" s="783" t="s">
        <v>1393</v>
      </c>
      <c r="D36" s="784">
        <v>24</v>
      </c>
      <c r="E36" s="785"/>
    </row>
    <row r="37" spans="2:9" x14ac:dyDescent="0.25">
      <c r="B37" s="796" t="s">
        <v>1313</v>
      </c>
      <c r="C37" s="797" t="s">
        <v>1443</v>
      </c>
      <c r="D37" s="797"/>
      <c r="E37" s="798"/>
    </row>
    <row r="38" spans="2:9" x14ac:dyDescent="0.25">
      <c r="B38" s="290" t="s">
        <v>1337</v>
      </c>
      <c r="C38" s="795" t="s">
        <v>1404</v>
      </c>
      <c r="D38" s="788">
        <v>25</v>
      </c>
      <c r="E38" s="772"/>
      <c r="I38" s="414"/>
    </row>
    <row r="39" spans="2:9" x14ac:dyDescent="0.25">
      <c r="B39" s="796" t="s">
        <v>1313</v>
      </c>
      <c r="C39" s="797" t="s">
        <v>193</v>
      </c>
      <c r="D39" s="797"/>
      <c r="E39" s="798"/>
    </row>
    <row r="40" spans="2:9" x14ac:dyDescent="0.25">
      <c r="B40" s="290" t="s">
        <v>1342</v>
      </c>
      <c r="C40" s="795" t="s">
        <v>1409</v>
      </c>
      <c r="D40" s="788">
        <v>26</v>
      </c>
      <c r="E40" s="772"/>
    </row>
    <row r="41" spans="2:9" x14ac:dyDescent="0.25">
      <c r="B41" s="290" t="s">
        <v>1313</v>
      </c>
      <c r="C41" s="771" t="s">
        <v>1444</v>
      </c>
      <c r="D41" s="788"/>
      <c r="E41" s="772"/>
    </row>
    <row r="42" spans="2:9" x14ac:dyDescent="0.25">
      <c r="B42" s="773" t="s">
        <v>1343</v>
      </c>
      <c r="C42" s="794" t="s">
        <v>1410</v>
      </c>
      <c r="D42" s="775">
        <v>27</v>
      </c>
      <c r="E42" s="776"/>
    </row>
    <row r="43" spans="2:9" ht="30" x14ac:dyDescent="0.25">
      <c r="B43" s="289" t="s">
        <v>1347</v>
      </c>
      <c r="C43" s="791" t="s">
        <v>1414</v>
      </c>
      <c r="D43" s="778">
        <v>28</v>
      </c>
      <c r="E43" s="779"/>
    </row>
    <row r="44" spans="2:9" x14ac:dyDescent="0.25">
      <c r="B44" s="290" t="s">
        <v>1313</v>
      </c>
      <c r="C44" s="771" t="s">
        <v>1415</v>
      </c>
      <c r="D44" s="771"/>
      <c r="E44" s="772"/>
    </row>
    <row r="45" spans="2:9" x14ac:dyDescent="0.25">
      <c r="B45" s="290" t="s">
        <v>1348</v>
      </c>
      <c r="C45" s="795" t="s">
        <v>1415</v>
      </c>
      <c r="D45" s="788">
        <v>29</v>
      </c>
      <c r="E45" s="772"/>
    </row>
    <row r="46" spans="2:9" x14ac:dyDescent="0.25">
      <c r="B46" s="290" t="s">
        <v>1313</v>
      </c>
      <c r="C46" s="771" t="s">
        <v>1575</v>
      </c>
      <c r="D46" s="771"/>
      <c r="E46" s="772"/>
    </row>
    <row r="47" spans="2:9" x14ac:dyDescent="0.25">
      <c r="B47" s="773" t="s">
        <v>1576</v>
      </c>
      <c r="C47" s="789" t="s">
        <v>1579</v>
      </c>
      <c r="D47" s="775">
        <v>30</v>
      </c>
      <c r="E47" s="776"/>
    </row>
    <row r="48" spans="2:9" x14ac:dyDescent="0.25">
      <c r="B48" s="782" t="s">
        <v>1577</v>
      </c>
      <c r="C48" s="786" t="s">
        <v>1580</v>
      </c>
      <c r="D48" s="784">
        <v>31</v>
      </c>
      <c r="E48" s="785"/>
    </row>
    <row r="49" spans="2:11" x14ac:dyDescent="0.25">
      <c r="B49" s="289" t="s">
        <v>1578</v>
      </c>
      <c r="C49" s="787" t="s">
        <v>1581</v>
      </c>
      <c r="D49" s="778">
        <v>32</v>
      </c>
      <c r="E49" s="779"/>
    </row>
    <row r="50" spans="2:11" x14ac:dyDescent="0.25">
      <c r="B50" s="792"/>
      <c r="C50" s="792"/>
      <c r="D50" s="784"/>
      <c r="E50" s="792"/>
    </row>
    <row r="51" spans="2:11" x14ac:dyDescent="0.25">
      <c r="B51" s="792"/>
      <c r="C51" s="792"/>
      <c r="D51" s="784"/>
      <c r="E51" s="792"/>
    </row>
    <row r="52" spans="2:11" x14ac:dyDescent="0.25">
      <c r="B52" s="792"/>
      <c r="C52" s="792"/>
      <c r="D52" s="784"/>
      <c r="E52" s="792"/>
    </row>
    <row r="53" spans="2:11" x14ac:dyDescent="0.25">
      <c r="B53" s="799" t="s">
        <v>1493</v>
      </c>
      <c r="C53" s="440"/>
      <c r="D53" s="440"/>
      <c r="E53" s="440"/>
    </row>
    <row r="54" spans="2:11" x14ac:dyDescent="0.25">
      <c r="B54" s="782" t="s">
        <v>1310</v>
      </c>
      <c r="C54" s="792" t="s">
        <v>1378</v>
      </c>
      <c r="D54" s="784">
        <v>33</v>
      </c>
      <c r="E54" s="785"/>
    </row>
    <row r="55" spans="2:11" x14ac:dyDescent="0.25">
      <c r="B55" s="782" t="s">
        <v>1324</v>
      </c>
      <c r="C55" s="792" t="s">
        <v>1391</v>
      </c>
      <c r="D55" s="784">
        <v>34</v>
      </c>
      <c r="E55" s="785"/>
      <c r="H55" s="414"/>
      <c r="K55" s="414"/>
    </row>
    <row r="56" spans="2:11" x14ac:dyDescent="0.25">
      <c r="B56" s="782" t="s">
        <v>1328</v>
      </c>
      <c r="C56" s="792" t="s">
        <v>1395</v>
      </c>
      <c r="D56" s="784">
        <v>35</v>
      </c>
      <c r="E56" s="785"/>
    </row>
    <row r="57" spans="2:11" x14ac:dyDescent="0.25">
      <c r="B57" s="782" t="s">
        <v>1329</v>
      </c>
      <c r="C57" s="792" t="s">
        <v>1396</v>
      </c>
      <c r="D57" s="784">
        <v>36</v>
      </c>
      <c r="E57" s="785"/>
    </row>
    <row r="58" spans="2:11" x14ac:dyDescent="0.25">
      <c r="B58" s="782" t="s">
        <v>1331</v>
      </c>
      <c r="C58" s="792" t="s">
        <v>1398</v>
      </c>
      <c r="D58" s="784">
        <v>37</v>
      </c>
      <c r="E58" s="785"/>
    </row>
    <row r="59" spans="2:11" x14ac:dyDescent="0.25">
      <c r="B59" s="782" t="s">
        <v>1332</v>
      </c>
      <c r="C59" s="792" t="s">
        <v>1399</v>
      </c>
      <c r="D59" s="784">
        <v>38</v>
      </c>
      <c r="E59" s="785"/>
    </row>
    <row r="60" spans="2:11" x14ac:dyDescent="0.25">
      <c r="B60" s="782" t="s">
        <v>1333</v>
      </c>
      <c r="C60" s="792" t="s">
        <v>1400</v>
      </c>
      <c r="D60" s="784">
        <v>39</v>
      </c>
      <c r="E60" s="785"/>
    </row>
    <row r="61" spans="2:11" ht="30" x14ac:dyDescent="0.25">
      <c r="B61" s="782" t="s">
        <v>1334</v>
      </c>
      <c r="C61" s="783" t="s">
        <v>1401</v>
      </c>
      <c r="D61" s="784">
        <v>40</v>
      </c>
      <c r="E61" s="785"/>
    </row>
    <row r="62" spans="2:11" ht="30" x14ac:dyDescent="0.25">
      <c r="B62" s="782" t="s">
        <v>1335</v>
      </c>
      <c r="C62" s="783" t="s">
        <v>1402</v>
      </c>
      <c r="D62" s="784">
        <v>41</v>
      </c>
      <c r="E62" s="785"/>
    </row>
    <row r="63" spans="2:11" x14ac:dyDescent="0.25">
      <c r="B63" s="782" t="s">
        <v>1336</v>
      </c>
      <c r="C63" s="783" t="s">
        <v>1403</v>
      </c>
      <c r="D63" s="784">
        <v>42</v>
      </c>
      <c r="E63" s="785"/>
    </row>
    <row r="64" spans="2:11" ht="30" customHeight="1" x14ac:dyDescent="0.25">
      <c r="B64" s="824" t="s">
        <v>1344</v>
      </c>
      <c r="C64" s="783" t="s">
        <v>1411</v>
      </c>
      <c r="D64" s="784">
        <v>43</v>
      </c>
      <c r="E64" s="785"/>
    </row>
    <row r="65" spans="2:5" x14ac:dyDescent="0.25">
      <c r="B65" s="782" t="s">
        <v>1345</v>
      </c>
      <c r="C65" s="792" t="s">
        <v>1412</v>
      </c>
      <c r="D65" s="784">
        <v>44</v>
      </c>
      <c r="E65" s="785"/>
    </row>
    <row r="66" spans="2:5" x14ac:dyDescent="0.25">
      <c r="B66" s="782" t="s">
        <v>1346</v>
      </c>
      <c r="C66" s="792" t="s">
        <v>1413</v>
      </c>
      <c r="D66" s="784">
        <v>45</v>
      </c>
      <c r="E66" s="785"/>
    </row>
    <row r="67" spans="2:5" x14ac:dyDescent="0.25">
      <c r="B67" s="782" t="s">
        <v>1349</v>
      </c>
      <c r="C67" s="792" t="s">
        <v>1416</v>
      </c>
      <c r="D67" s="784">
        <v>46</v>
      </c>
      <c r="E67" s="785"/>
    </row>
    <row r="68" spans="2:5" x14ac:dyDescent="0.25">
      <c r="B68" s="289" t="s">
        <v>1350</v>
      </c>
      <c r="C68" s="37" t="s">
        <v>1417</v>
      </c>
      <c r="D68" s="778">
        <v>47</v>
      </c>
      <c r="E68" s="779"/>
    </row>
    <row r="70" spans="2:5" x14ac:dyDescent="0.25">
      <c r="B70" s="820" t="s">
        <v>1424</v>
      </c>
      <c r="C70" s="821"/>
      <c r="D70" s="821"/>
      <c r="E70" s="822"/>
    </row>
    <row r="71" spans="2:5" x14ac:dyDescent="0.25">
      <c r="B71" s="782" t="s">
        <v>1285</v>
      </c>
      <c r="C71" s="823" t="s">
        <v>1353</v>
      </c>
      <c r="D71" s="784" t="s">
        <v>109</v>
      </c>
      <c r="E71" s="785"/>
    </row>
    <row r="72" spans="2:5" x14ac:dyDescent="0.25">
      <c r="B72" s="782" t="s">
        <v>1286</v>
      </c>
      <c r="C72" s="823" t="s">
        <v>1354</v>
      </c>
      <c r="D72" s="784" t="s">
        <v>109</v>
      </c>
      <c r="E72" s="785"/>
    </row>
    <row r="73" spans="2:5" x14ac:dyDescent="0.25">
      <c r="B73" s="782" t="s">
        <v>1290</v>
      </c>
      <c r="C73" s="786" t="s">
        <v>1358</v>
      </c>
      <c r="D73" s="784" t="s">
        <v>109</v>
      </c>
      <c r="E73" s="785"/>
    </row>
    <row r="74" spans="2:5" ht="19.5" customHeight="1" x14ac:dyDescent="0.25">
      <c r="B74" s="782" t="s">
        <v>1293</v>
      </c>
      <c r="C74" s="783" t="s">
        <v>1361</v>
      </c>
      <c r="D74" s="784" t="s">
        <v>109</v>
      </c>
      <c r="E74" s="785"/>
    </row>
    <row r="75" spans="2:5" ht="14.25" customHeight="1" x14ac:dyDescent="0.25">
      <c r="B75" s="782" t="s">
        <v>1303</v>
      </c>
      <c r="C75" s="783" t="s">
        <v>1371</v>
      </c>
      <c r="D75" s="784" t="s">
        <v>109</v>
      </c>
      <c r="E75" s="785"/>
    </row>
    <row r="76" spans="2:5" x14ac:dyDescent="0.25">
      <c r="B76" s="782" t="s">
        <v>1305</v>
      </c>
      <c r="C76" s="786" t="s">
        <v>1373</v>
      </c>
      <c r="D76" s="784" t="s">
        <v>109</v>
      </c>
      <c r="E76" s="785"/>
    </row>
    <row r="77" spans="2:5" x14ac:dyDescent="0.25">
      <c r="B77" s="782" t="s">
        <v>1307</v>
      </c>
      <c r="C77" s="786" t="s">
        <v>1375</v>
      </c>
      <c r="D77" s="784" t="s">
        <v>109</v>
      </c>
      <c r="E77" s="785"/>
    </row>
    <row r="78" spans="2:5" x14ac:dyDescent="0.25">
      <c r="B78" s="782" t="s">
        <v>1309</v>
      </c>
      <c r="C78" s="792" t="s">
        <v>1377</v>
      </c>
      <c r="D78" s="784" t="s">
        <v>109</v>
      </c>
      <c r="E78" s="785"/>
    </row>
    <row r="79" spans="2:5" x14ac:dyDescent="0.25">
      <c r="B79" s="782" t="s">
        <v>1311</v>
      </c>
      <c r="C79" s="783" t="s">
        <v>1379</v>
      </c>
      <c r="D79" s="784" t="s">
        <v>109</v>
      </c>
      <c r="E79" s="785"/>
    </row>
    <row r="80" spans="2:5" x14ac:dyDescent="0.25">
      <c r="B80" s="782" t="s">
        <v>1316</v>
      </c>
      <c r="C80" s="792" t="s">
        <v>1383</v>
      </c>
      <c r="D80" s="784" t="s">
        <v>109</v>
      </c>
      <c r="E80" s="785"/>
    </row>
    <row r="81" spans="2:5" x14ac:dyDescent="0.25">
      <c r="B81" s="782" t="s">
        <v>1317</v>
      </c>
      <c r="C81" s="792" t="s">
        <v>1384</v>
      </c>
      <c r="D81" s="784" t="s">
        <v>109</v>
      </c>
      <c r="E81" s="785"/>
    </row>
    <row r="82" spans="2:5" ht="30" customHeight="1" x14ac:dyDescent="0.25">
      <c r="B82" s="782" t="s">
        <v>1318</v>
      </c>
      <c r="C82" s="783" t="s">
        <v>1385</v>
      </c>
      <c r="D82" s="784" t="s">
        <v>109</v>
      </c>
      <c r="E82" s="785"/>
    </row>
    <row r="83" spans="2:5" x14ac:dyDescent="0.25">
      <c r="B83" s="782" t="s">
        <v>1319</v>
      </c>
      <c r="C83" s="783" t="s">
        <v>1386</v>
      </c>
      <c r="D83" s="784" t="s">
        <v>109</v>
      </c>
      <c r="E83" s="785"/>
    </row>
    <row r="84" spans="2:5" x14ac:dyDescent="0.25">
      <c r="B84" s="782" t="s">
        <v>1320</v>
      </c>
      <c r="C84" s="792" t="s">
        <v>1387</v>
      </c>
      <c r="D84" s="784" t="s">
        <v>109</v>
      </c>
      <c r="E84" s="785"/>
    </row>
    <row r="85" spans="2:5" x14ac:dyDescent="0.25">
      <c r="B85" s="782" t="s">
        <v>1321</v>
      </c>
      <c r="C85" s="792" t="s">
        <v>1388</v>
      </c>
      <c r="D85" s="784" t="s">
        <v>109</v>
      </c>
      <c r="E85" s="785"/>
    </row>
    <row r="86" spans="2:5" ht="30" customHeight="1" x14ac:dyDescent="0.25">
      <c r="B86" s="782" t="s">
        <v>1322</v>
      </c>
      <c r="C86" s="783" t="s">
        <v>1389</v>
      </c>
      <c r="D86" s="784" t="s">
        <v>109</v>
      </c>
      <c r="E86" s="785"/>
    </row>
    <row r="87" spans="2:5" x14ac:dyDescent="0.25">
      <c r="B87" s="782" t="s">
        <v>1323</v>
      </c>
      <c r="C87" s="783" t="s">
        <v>1390</v>
      </c>
      <c r="D87" s="784" t="s">
        <v>109</v>
      </c>
      <c r="E87" s="785"/>
    </row>
    <row r="88" spans="2:5" x14ac:dyDescent="0.25">
      <c r="B88" s="782" t="s">
        <v>1327</v>
      </c>
      <c r="C88" s="783" t="s">
        <v>1394</v>
      </c>
      <c r="D88" s="784" t="s">
        <v>109</v>
      </c>
      <c r="E88" s="785"/>
    </row>
    <row r="89" spans="2:5" x14ac:dyDescent="0.25">
      <c r="B89" s="782" t="s">
        <v>1330</v>
      </c>
      <c r="C89" s="792" t="s">
        <v>1397</v>
      </c>
      <c r="D89" s="784" t="s">
        <v>109</v>
      </c>
      <c r="E89" s="785"/>
    </row>
    <row r="90" spans="2:5" x14ac:dyDescent="0.25">
      <c r="B90" s="782" t="s">
        <v>1338</v>
      </c>
      <c r="C90" s="792" t="s">
        <v>1405</v>
      </c>
      <c r="D90" s="784" t="s">
        <v>109</v>
      </c>
      <c r="E90" s="785"/>
    </row>
    <row r="91" spans="2:5" x14ac:dyDescent="0.25">
      <c r="B91" s="782" t="s">
        <v>1339</v>
      </c>
      <c r="C91" s="792" t="s">
        <v>1406</v>
      </c>
      <c r="D91" s="784" t="s">
        <v>109</v>
      </c>
      <c r="E91" s="785"/>
    </row>
    <row r="92" spans="2:5" x14ac:dyDescent="0.25">
      <c r="B92" s="782" t="s">
        <v>1340</v>
      </c>
      <c r="C92" s="792" t="s">
        <v>1407</v>
      </c>
      <c r="D92" s="784" t="s">
        <v>109</v>
      </c>
      <c r="E92" s="785"/>
    </row>
    <row r="93" spans="2:5" x14ac:dyDescent="0.25">
      <c r="B93" s="289" t="s">
        <v>1341</v>
      </c>
      <c r="C93" s="37" t="s">
        <v>1408</v>
      </c>
      <c r="D93" s="778" t="s">
        <v>109</v>
      </c>
      <c r="E93" s="779"/>
    </row>
  </sheetData>
  <hyperlinks>
    <hyperlink ref="D4" location="'1'!A1" display="'1'!A1" xr:uid="{1AF086C4-6D0B-4E11-890A-00EE8A79951F}"/>
    <hyperlink ref="D5" location="'2'!A1" display="'2'!A1" xr:uid="{1A15DBAC-D760-4C0E-AB12-2D1B6755FB24}"/>
    <hyperlink ref="D7" location="'3'!A1" display="'3'!A1" xr:uid="{32B3C1A1-295E-40EC-9EF2-F9D4A4F5472A}"/>
    <hyperlink ref="D8" location="'4'!A1" display="'4'!A1" xr:uid="{6DFE0BA1-D475-4053-BA3B-9196A360DFE2}"/>
    <hyperlink ref="D9" location="'5'!A1" display="'5'!A1" xr:uid="{66E1AB48-E741-4A21-BDE7-CDC62B9DA5CE}"/>
    <hyperlink ref="D71" location="'EU INS1'!A1" display="N/A" xr:uid="{6B199075-0A66-474E-88E5-A3D115C43E7F}"/>
    <hyperlink ref="D72" location="'EU INS2'!A1" display="N/A" xr:uid="{C546D968-3ABC-4C97-9E26-9E0992883AF3}"/>
    <hyperlink ref="D11" location="'6'!A1" display="'6'!A1" xr:uid="{04056AFD-C4D4-47F4-8FB5-421DDF5A4CA7}"/>
    <hyperlink ref="D12" location="'7'!A1" display="'7'!A1" xr:uid="{9464EEEA-4555-4B15-A08F-4137B2BEC115}"/>
    <hyperlink ref="D74" location="'EU CCyB1'!A1" display="N/A" xr:uid="{B8AD7A9D-1D36-43DF-8ACB-3D006B9BEB0A}"/>
    <hyperlink ref="D14" location="'8'!A1" display="'8'!A1" xr:uid="{AD1E259B-CE1F-4409-8A21-C92A6DAC0C56}"/>
    <hyperlink ref="D15" location="'9'!A1" display="'9'!A1" xr:uid="{C5BE0E0D-5D8E-4FF9-A4DA-022E98394AFB}"/>
    <hyperlink ref="D16" location="'10'!A1" display="'10'!A1" xr:uid="{69DC3340-FD3F-4274-9CA4-3444A0033267}"/>
    <hyperlink ref="D18" location="'11'!A1" display="'11'!A1" xr:uid="{3D7BF880-EDA2-4C67-84BF-65EC06FB27A4}"/>
    <hyperlink ref="D19" location="'12'!A1" display="'12'!A1" xr:uid="{56341BA1-703B-4CC5-ACE0-DC093DD08FAC}"/>
    <hyperlink ref="D23" location="'14'!A1" display="'14'!A1" xr:uid="{0AFC9E3D-9B05-4147-95FC-5F1113054A41}"/>
    <hyperlink ref="D24" location="'15'!A1" display="'15'!A1" xr:uid="{8FEFA364-1C43-4678-88CF-50C8BE6AC4CB}"/>
    <hyperlink ref="D25" location="'16'!A1" display="'16'!A1" xr:uid="{EA472CBE-10B2-4FED-882B-3A2C8CBA526A}"/>
    <hyperlink ref="D75" location="'Skema EU CR2a'!A1" display="'Skema EU CR2a'!A1" xr:uid="{C0DBFCC9-D722-49ED-B707-3B2C12D093CB}"/>
    <hyperlink ref="D26" location="'17'!A1" display="'17'!A1" xr:uid="{024CE935-DD88-44F9-8BD9-9DD3797C7C97}"/>
    <hyperlink ref="D76" location="'Skema EU CQ2'!A1" display="'Skema EU CQ2'!A1" xr:uid="{D6F6F507-1725-4D8B-8D1A-01ADC4C1876E}"/>
    <hyperlink ref="D27" location="'18'!A1" display="'18'!A1" xr:uid="{76ABBB50-CC7D-42EC-BBB6-C0B81D446DA8}"/>
    <hyperlink ref="D77" location="'Skema EU CQ4'!A1" display="'Skema EU CQ4'!A1" xr:uid="{0C1B2BD0-5127-4332-A333-6A946A04C897}"/>
    <hyperlink ref="D28" location="'19'!A1" display="'19'!A1" xr:uid="{59CC8A26-140D-4189-982E-F8734A0ED295}"/>
    <hyperlink ref="D78" location="'Skema EU CQ6'!A1" display="'Skema EU CQ6'!A1" xr:uid="{E3F34009-805B-47C0-80FA-4FBA1A2AB0E1}"/>
    <hyperlink ref="D54" location="'33'!A1" display="'33'!A1" xr:uid="{8B0889BF-4AD9-4704-9AF5-8E7FE83E3EE5}"/>
    <hyperlink ref="D79" location="'Skema EU CQ8'!A1" display="'Skema EU CQ8'!A1" xr:uid="{D397B70F-7BEA-488B-A016-CA6E8225B781}"/>
    <hyperlink ref="D30" location="'20'!A1" display="'20'!A1" xr:uid="{470E8083-6423-4D75-9D7C-4CE859A6A63D}"/>
    <hyperlink ref="D32" location="'21'!A1" display="'21'!A1" xr:uid="{698A5D94-6D6F-4CF8-96A7-B97B449519D1}"/>
    <hyperlink ref="D33" location="'22'!A1" display="'22'!A1" xr:uid="{15154B45-8D55-4BAE-92E4-C2D7B960A077}"/>
    <hyperlink ref="D80" location="'EU CR6'!A1" display="N/A" xr:uid="{76D91008-1BA7-4E3B-9E48-5B9CA27263AD}"/>
    <hyperlink ref="D81" location="'EU CR6-A'!A1" display="N/A" xr:uid="{B0E71C6B-5903-414C-9992-3CF0FA631490}"/>
    <hyperlink ref="D82" location="'EU CR7'!A1" display="N/A" xr:uid="{17D80C03-88FB-46E6-B122-2DC0147F04F6}"/>
    <hyperlink ref="D83" location="'EU CR7-A'!A1" display="N/A" xr:uid="{FE5A6640-DCFE-4BB3-B069-A570E2623494}"/>
    <hyperlink ref="D84" location="'EU CR8'!A1" display="N/A" xr:uid="{DE95ECCE-E7A8-476C-A980-DB47E4EB2831}"/>
    <hyperlink ref="D85" location="'EU CR9'!A1" display="N/A" xr:uid="{08A4EB5D-60B8-4000-A031-FCD89BF02725}"/>
    <hyperlink ref="D86" location="'EU CR9.1'!A1" display="N/A" xr:uid="{354AC1D6-7A1D-4AD1-8FE0-135365C3297F}"/>
    <hyperlink ref="D87" location="'EU CR10 '!A1" display="N/A" xr:uid="{B2942A9D-7AE1-42CA-8E49-B30DF14D5459}"/>
    <hyperlink ref="D35" location="'23'!A1" display="'23'!A1" xr:uid="{944772DE-5CDA-45C1-83E7-C3B3C9868E10}"/>
    <hyperlink ref="D36" location="'24'!A1" display="'24'!A1" xr:uid="{6883383C-D190-4A9C-9419-3CD7C6083C80}"/>
    <hyperlink ref="D88" location="'Skema EU CCR4'!A1" display="N/A" xr:uid="{4C5961EC-15F7-4D38-88E0-D5C3BA2BB59F}"/>
    <hyperlink ref="D56" location="'35'!A1" display="'35'!A1" xr:uid="{0369E3EA-F8CC-486E-889E-AED80753D8AA}"/>
    <hyperlink ref="D57" location="'36'!A1" display="'36'!A1" xr:uid="{05DC5CC7-F175-49A8-A317-F5C7509D3DA3}"/>
    <hyperlink ref="D58" location="'37'!A1" display="'37'!A1" xr:uid="{1B5C78E1-34D2-412C-8E92-AC34A45008C1}"/>
    <hyperlink ref="D59" location="'38'!A1" display="'38'!A1" xr:uid="{F90BFEE6-C5CD-4D09-AEFF-A2DEB82C579E}"/>
    <hyperlink ref="D60" location="'39'!A1" display="'39'!A1" xr:uid="{E5BA7859-34AD-4CCE-AC5F-F3F685B98311}"/>
    <hyperlink ref="D61" location="'40'!A1" display="'40'!A1" xr:uid="{D47BB981-B2AD-411F-A633-49CA8935F29D}"/>
    <hyperlink ref="D62" location="'41'!A1" display="'41'!A1" xr:uid="{093ADCB8-09FB-409E-A7BB-939638283A09}"/>
    <hyperlink ref="D63" location="'42'!A1" display="'42'!A1" xr:uid="{CA120686-D15A-4F8A-98E8-6060C5AD006E}"/>
    <hyperlink ref="D38" location="'25'!A1" display="'25'!A1" xr:uid="{45F59A0A-DCE3-4657-96D8-8A93E22189D8}"/>
    <hyperlink ref="D40" location="'26'!A1" display="'26'!A1" xr:uid="{B025CDD8-5F2D-4A77-B823-7D7F3AF6683C}"/>
    <hyperlink ref="D42" location="'27'!A1" display="'27'!A1" xr:uid="{54CCF898-7DF1-4B20-9CA4-6CA8DC1D91F4}"/>
    <hyperlink ref="D64" location="'43'!A1" display="'43'!A1" xr:uid="{424E4334-2E54-41C9-A734-2DE10EC0E46F}"/>
    <hyperlink ref="D65" location="'44'!A1" display="'44'!A1" xr:uid="{04335861-ACC2-4EC1-B72C-77E0238734FA}"/>
    <hyperlink ref="D66" location="'45'!A1" display="'45'!A1" xr:uid="{B7F8CEA2-0AD7-430F-8AAD-C75FA2B0181A}"/>
    <hyperlink ref="D43" location="'28'!A1" display="'28'!A1" xr:uid="{672A9AD7-D20C-4E78-A10E-97A9CEA2F3BF}"/>
    <hyperlink ref="D45" location="'29'!A1" display="'29'!A1" xr:uid="{C0B812DE-7A05-4691-90BC-AC65E127D940}"/>
    <hyperlink ref="D67" location="'46'!A1" display="'46'!A1" xr:uid="{73368018-C286-4D28-B152-49A4C117A236}"/>
    <hyperlink ref="D68" location="'47'!A1" display="'47'!A1" xr:uid="{34ED87A3-0668-4614-88A8-A7497B9B1202}"/>
    <hyperlink ref="D55" location="'34'!A1" display="'34'!A1" xr:uid="{BDB3A013-3CE1-4248-AA43-0567669E4E87}"/>
    <hyperlink ref="D73" location="'Skema EU PV1'!A1" display="N/A" xr:uid="{398ED472-D4B6-44F1-A78A-4D139A4B9DC5}"/>
    <hyperlink ref="D89:D93" location="'Skema EU CCR4'!A1" display="N/A" xr:uid="{DD79EDB6-A736-4D20-881B-75CC92DAAEBF}"/>
    <hyperlink ref="D89" location="'Skema EU CCR7'!A1" display="N/A" xr:uid="{90E65507-5AEE-4570-AB48-907765D1D927}"/>
    <hyperlink ref="D21" location="'13'!A1" display="'13'!A1" xr:uid="{DAC03BC2-3817-4D60-972D-E3742495D976}"/>
    <hyperlink ref="D90" location="'EU MR2-A'!A1" display="N/A" xr:uid="{A05A6142-728D-43C2-BB12-4ECD5ABA37F2}"/>
    <hyperlink ref="D91" location="'EU MR2-B'!A1" display="N/A" xr:uid="{F90C7D6A-9971-475E-BD9D-D3CC2F484150}"/>
    <hyperlink ref="D92" location="'EU MR3'!A1" display="N/A" xr:uid="{B484F2AA-06C2-4F33-ADEB-956366E815DC}"/>
    <hyperlink ref="D93" location="'EU MR4'!A1" display="N/A" xr:uid="{17EF58AB-03E4-494B-AF39-A28B1EAA273C}"/>
    <hyperlink ref="D47" location="'30'!A1" display="'30'!A1" xr:uid="{14EA86FA-7D49-4AEA-A525-0744057A5018}"/>
    <hyperlink ref="D48" location="'31'!A1" display="'31'!A1" xr:uid="{8580EA00-E3CC-438D-B883-BA3A24DE5D68}"/>
    <hyperlink ref="D49" location="'32'!A1" display="'32'!A1" xr:uid="{BDB88543-1090-4D0B-9F23-255BE4E49863}"/>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02752-CBA3-46EA-A3D2-9B43B933C1DB}">
  <dimension ref="A1:G44"/>
  <sheetViews>
    <sheetView showGridLines="0" zoomScaleNormal="100" workbookViewId="0">
      <selection activeCell="F1" sqref="F1"/>
    </sheetView>
  </sheetViews>
  <sheetFormatPr defaultColWidth="9.140625" defaultRowHeight="15" x14ac:dyDescent="0.25"/>
  <cols>
    <col min="1" max="1" width="4.85546875" style="1" customWidth="1"/>
    <col min="2" max="2" width="7.85546875" style="1" customWidth="1"/>
    <col min="3" max="3" width="64.42578125" style="1" customWidth="1"/>
    <col min="4" max="4" width="13.85546875" style="2" customWidth="1"/>
    <col min="5" max="5" width="14.140625" style="2" customWidth="1"/>
    <col min="6" max="6" width="17.42578125" style="1" customWidth="1"/>
    <col min="7" max="7" width="9.140625" style="1" customWidth="1"/>
    <col min="8" max="16384" width="9.140625" style="1"/>
  </cols>
  <sheetData>
    <row r="1" spans="1:6" x14ac:dyDescent="0.25">
      <c r="A1" s="7"/>
      <c r="B1" s="7"/>
      <c r="C1" s="7"/>
      <c r="D1" s="7"/>
      <c r="E1" s="7"/>
    </row>
    <row r="2" spans="1:6" ht="18.75" x14ac:dyDescent="0.3">
      <c r="A2" s="7"/>
      <c r="B2" s="416" t="s">
        <v>36</v>
      </c>
      <c r="D2" s="1"/>
      <c r="E2" s="7"/>
    </row>
    <row r="3" spans="1:6" x14ac:dyDescent="0.25">
      <c r="A3" s="7"/>
      <c r="D3" s="1"/>
      <c r="E3" s="1"/>
    </row>
    <row r="4" spans="1:6" x14ac:dyDescent="0.25">
      <c r="A4" s="7"/>
      <c r="D4" s="1"/>
      <c r="E4" s="1"/>
    </row>
    <row r="5" spans="1:6" ht="45" x14ac:dyDescent="0.25">
      <c r="A5" s="7"/>
      <c r="B5" s="933"/>
      <c r="C5" s="934"/>
      <c r="D5" s="931" t="s">
        <v>35</v>
      </c>
      <c r="E5" s="932"/>
      <c r="F5" s="464" t="s">
        <v>1245</v>
      </c>
    </row>
    <row r="6" spans="1:6" x14ac:dyDescent="0.25">
      <c r="A6" s="7"/>
      <c r="B6" s="933"/>
      <c r="C6" s="934"/>
      <c r="D6" s="768" t="s">
        <v>1456</v>
      </c>
      <c r="E6" s="768" t="s">
        <v>1456</v>
      </c>
      <c r="F6" s="464" t="s">
        <v>34</v>
      </c>
    </row>
    <row r="7" spans="1:6" x14ac:dyDescent="0.25">
      <c r="A7" s="7"/>
      <c r="B7" s="935"/>
      <c r="C7" s="935"/>
      <c r="D7" s="464">
        <v>2024</v>
      </c>
      <c r="E7" s="464">
        <v>2023</v>
      </c>
      <c r="F7" s="464">
        <v>2024</v>
      </c>
    </row>
    <row r="8" spans="1:6" x14ac:dyDescent="0.25">
      <c r="A8" s="7"/>
      <c r="B8" s="10">
        <v>1</v>
      </c>
      <c r="C8" s="9" t="s">
        <v>33</v>
      </c>
      <c r="D8" s="679">
        <f>(3629243200-2227656)/1000</f>
        <v>3627015.5440000002</v>
      </c>
      <c r="E8" s="679">
        <f>(3308371639-1668536)/1000</f>
        <v>3306703.1030000001</v>
      </c>
      <c r="F8" s="679">
        <f t="shared" ref="F8:F20" si="0">+D8*0.08</f>
        <v>290161.24352000002</v>
      </c>
    </row>
    <row r="9" spans="1:6" x14ac:dyDescent="0.25">
      <c r="A9" s="7"/>
      <c r="B9" s="10">
        <v>2</v>
      </c>
      <c r="C9" s="11" t="s">
        <v>5</v>
      </c>
      <c r="D9" s="3">
        <f>+D8</f>
        <v>3627015.5440000002</v>
      </c>
      <c r="E9" s="3">
        <f>+E8</f>
        <v>3306703.1030000001</v>
      </c>
      <c r="F9" s="3">
        <f t="shared" si="0"/>
        <v>290161.24352000002</v>
      </c>
    </row>
    <row r="10" spans="1:6" ht="30" x14ac:dyDescent="0.25">
      <c r="A10" s="7"/>
      <c r="B10" s="10">
        <v>3</v>
      </c>
      <c r="C10" s="11" t="s">
        <v>32</v>
      </c>
      <c r="D10" s="3">
        <v>0</v>
      </c>
      <c r="E10" s="3">
        <v>0</v>
      </c>
      <c r="F10" s="3">
        <f t="shared" si="0"/>
        <v>0</v>
      </c>
    </row>
    <row r="11" spans="1:6" x14ac:dyDescent="0.25">
      <c r="A11" s="7"/>
      <c r="B11" s="10">
        <v>4</v>
      </c>
      <c r="C11" s="11" t="s">
        <v>31</v>
      </c>
      <c r="D11" s="3">
        <v>0</v>
      </c>
      <c r="E11" s="3">
        <v>0</v>
      </c>
      <c r="F11" s="3">
        <f t="shared" si="0"/>
        <v>0</v>
      </c>
    </row>
    <row r="12" spans="1:6" x14ac:dyDescent="0.25">
      <c r="A12" s="7"/>
      <c r="B12" s="10" t="s">
        <v>30</v>
      </c>
      <c r="C12" s="11" t="s">
        <v>29</v>
      </c>
      <c r="D12" s="3">
        <v>0</v>
      </c>
      <c r="E12" s="3">
        <v>0</v>
      </c>
      <c r="F12" s="3">
        <f t="shared" si="0"/>
        <v>0</v>
      </c>
    </row>
    <row r="13" spans="1:6" ht="30" x14ac:dyDescent="0.25">
      <c r="A13" s="7"/>
      <c r="B13" s="10">
        <v>5</v>
      </c>
      <c r="C13" s="11" t="s">
        <v>28</v>
      </c>
      <c r="D13" s="3">
        <v>0</v>
      </c>
      <c r="E13" s="3">
        <v>0</v>
      </c>
      <c r="F13" s="3">
        <f t="shared" si="0"/>
        <v>0</v>
      </c>
    </row>
    <row r="14" spans="1:6" x14ac:dyDescent="0.25">
      <c r="A14" s="7"/>
      <c r="B14" s="10">
        <v>6</v>
      </c>
      <c r="C14" s="9" t="s">
        <v>27</v>
      </c>
      <c r="D14" s="3">
        <f>(2227656+2996340)/1000</f>
        <v>5223.9960000000001</v>
      </c>
      <c r="E14" s="3">
        <f>(1668536+1976010)/1000</f>
        <v>3644.5459999999998</v>
      </c>
      <c r="F14" s="3">
        <f t="shared" si="0"/>
        <v>417.91968000000003</v>
      </c>
    </row>
    <row r="15" spans="1:6" x14ac:dyDescent="0.25">
      <c r="A15" s="7"/>
      <c r="B15" s="10">
        <v>7</v>
      </c>
      <c r="C15" s="11" t="s">
        <v>5</v>
      </c>
      <c r="D15" s="3">
        <v>0</v>
      </c>
      <c r="E15" s="3">
        <v>0</v>
      </c>
      <c r="F15" s="3">
        <f t="shared" si="0"/>
        <v>0</v>
      </c>
    </row>
    <row r="16" spans="1:6" x14ac:dyDescent="0.25">
      <c r="A16" s="7"/>
      <c r="B16" s="10">
        <v>8</v>
      </c>
      <c r="C16" s="11" t="s">
        <v>26</v>
      </c>
      <c r="D16" s="3">
        <v>0</v>
      </c>
      <c r="E16" s="3">
        <v>0</v>
      </c>
      <c r="F16" s="3">
        <f t="shared" si="0"/>
        <v>0</v>
      </c>
    </row>
    <row r="17" spans="1:7" x14ac:dyDescent="0.25">
      <c r="A17" s="7"/>
      <c r="B17" s="10" t="s">
        <v>25</v>
      </c>
      <c r="C17" s="11" t="s">
        <v>24</v>
      </c>
      <c r="D17" s="3">
        <v>0</v>
      </c>
      <c r="E17" s="3">
        <v>0</v>
      </c>
      <c r="F17" s="3">
        <f t="shared" si="0"/>
        <v>0</v>
      </c>
      <c r="G17" s="12"/>
    </row>
    <row r="18" spans="1:7" x14ac:dyDescent="0.25">
      <c r="A18" s="7"/>
      <c r="B18" s="10" t="s">
        <v>23</v>
      </c>
      <c r="C18" s="11" t="s">
        <v>22</v>
      </c>
      <c r="D18" s="3">
        <f>2996340/1000</f>
        <v>2996.34</v>
      </c>
      <c r="E18" s="3">
        <f>1976010/1000</f>
        <v>1976.01</v>
      </c>
      <c r="F18" s="3">
        <f t="shared" si="0"/>
        <v>239.70720000000003</v>
      </c>
    </row>
    <row r="19" spans="1:7" x14ac:dyDescent="0.25">
      <c r="A19" s="7"/>
      <c r="B19" s="10">
        <v>9</v>
      </c>
      <c r="C19" s="11" t="s">
        <v>21</v>
      </c>
      <c r="D19" s="3">
        <f>+D14-D15-D16-D17-D18</f>
        <v>2227.6559999999999</v>
      </c>
      <c r="E19" s="3">
        <f>+E14-E15-E16-E17-E18</f>
        <v>1668.5359999999998</v>
      </c>
      <c r="F19" s="3">
        <f t="shared" si="0"/>
        <v>178.21248</v>
      </c>
    </row>
    <row r="20" spans="1:7" x14ac:dyDescent="0.25">
      <c r="A20" s="7"/>
      <c r="B20" s="10">
        <v>10</v>
      </c>
      <c r="C20" s="9" t="s">
        <v>1</v>
      </c>
      <c r="D20" s="8"/>
      <c r="E20" s="8"/>
      <c r="F20" s="8">
        <f t="shared" si="0"/>
        <v>0</v>
      </c>
    </row>
    <row r="21" spans="1:7" x14ac:dyDescent="0.25">
      <c r="A21" s="7"/>
      <c r="B21" s="10">
        <v>11</v>
      </c>
      <c r="C21" s="9" t="s">
        <v>1</v>
      </c>
      <c r="D21" s="8"/>
      <c r="E21" s="8"/>
      <c r="F21" s="8"/>
    </row>
    <row r="22" spans="1:7" x14ac:dyDescent="0.25">
      <c r="A22" s="7"/>
      <c r="B22" s="10">
        <v>12</v>
      </c>
      <c r="C22" s="9" t="s">
        <v>1</v>
      </c>
      <c r="D22" s="8"/>
      <c r="E22" s="8"/>
      <c r="F22" s="8"/>
    </row>
    <row r="23" spans="1:7" x14ac:dyDescent="0.25">
      <c r="A23" s="7"/>
      <c r="B23" s="10">
        <v>13</v>
      </c>
      <c r="C23" s="9" t="s">
        <v>1</v>
      </c>
      <c r="D23" s="8"/>
      <c r="E23" s="8"/>
      <c r="F23" s="8"/>
    </row>
    <row r="24" spans="1:7" x14ac:dyDescent="0.25">
      <c r="A24" s="7"/>
      <c r="B24" s="10">
        <v>14</v>
      </c>
      <c r="C24" s="9" t="s">
        <v>1</v>
      </c>
      <c r="D24" s="8"/>
      <c r="E24" s="8"/>
      <c r="F24" s="8"/>
    </row>
    <row r="25" spans="1:7" x14ac:dyDescent="0.25">
      <c r="A25" s="7"/>
      <c r="B25" s="10">
        <v>15</v>
      </c>
      <c r="C25" s="9" t="s">
        <v>20</v>
      </c>
      <c r="D25" s="3">
        <v>0</v>
      </c>
      <c r="E25" s="3">
        <v>0</v>
      </c>
      <c r="F25" s="3">
        <f t="shared" ref="F25:F39" si="1">+D25*0.08</f>
        <v>0</v>
      </c>
    </row>
    <row r="26" spans="1:7" ht="15" customHeight="1" x14ac:dyDescent="0.25">
      <c r="A26" s="7"/>
      <c r="B26" s="10">
        <v>16</v>
      </c>
      <c r="C26" s="9" t="s">
        <v>19</v>
      </c>
      <c r="D26" s="3">
        <v>0</v>
      </c>
      <c r="E26" s="3">
        <v>0</v>
      </c>
      <c r="F26" s="3">
        <f t="shared" si="1"/>
        <v>0</v>
      </c>
    </row>
    <row r="27" spans="1:7" x14ac:dyDescent="0.25">
      <c r="A27" s="7"/>
      <c r="B27" s="10">
        <v>17</v>
      </c>
      <c r="C27" s="11" t="s">
        <v>18</v>
      </c>
      <c r="D27" s="3">
        <v>0</v>
      </c>
      <c r="E27" s="3">
        <v>0</v>
      </c>
      <c r="F27" s="3">
        <f t="shared" si="1"/>
        <v>0</v>
      </c>
    </row>
    <row r="28" spans="1:7" x14ac:dyDescent="0.25">
      <c r="A28" s="7"/>
      <c r="B28" s="10">
        <v>18</v>
      </c>
      <c r="C28" s="11" t="s">
        <v>17</v>
      </c>
      <c r="D28" s="3">
        <v>0</v>
      </c>
      <c r="E28" s="3">
        <v>0</v>
      </c>
      <c r="F28" s="3">
        <f t="shared" si="1"/>
        <v>0</v>
      </c>
    </row>
    <row r="29" spans="1:7" x14ac:dyDescent="0.25">
      <c r="A29" s="7"/>
      <c r="B29" s="10">
        <v>19</v>
      </c>
      <c r="C29" s="11" t="s">
        <v>16</v>
      </c>
      <c r="D29" s="3">
        <v>0</v>
      </c>
      <c r="E29" s="3">
        <v>0</v>
      </c>
      <c r="F29" s="3">
        <f t="shared" si="1"/>
        <v>0</v>
      </c>
    </row>
    <row r="30" spans="1:7" x14ac:dyDescent="0.25">
      <c r="A30" s="7"/>
      <c r="B30" s="10" t="s">
        <v>15</v>
      </c>
      <c r="C30" s="11" t="s">
        <v>14</v>
      </c>
      <c r="D30" s="3">
        <v>0</v>
      </c>
      <c r="E30" s="3">
        <v>0</v>
      </c>
      <c r="F30" s="3">
        <f t="shared" si="1"/>
        <v>0</v>
      </c>
    </row>
    <row r="31" spans="1:7" x14ac:dyDescent="0.25">
      <c r="A31" s="7"/>
      <c r="B31" s="10">
        <v>20</v>
      </c>
      <c r="C31" s="9" t="s">
        <v>13</v>
      </c>
      <c r="D31" s="3">
        <f>728749833/1000</f>
        <v>728749.83299999998</v>
      </c>
      <c r="E31" s="3">
        <f>535685851/1000</f>
        <v>535685.85100000002</v>
      </c>
      <c r="F31" s="3">
        <f t="shared" si="1"/>
        <v>58299.986640000003</v>
      </c>
    </row>
    <row r="32" spans="1:7" x14ac:dyDescent="0.25">
      <c r="A32" s="7"/>
      <c r="B32" s="10">
        <v>21</v>
      </c>
      <c r="C32" s="11" t="s">
        <v>5</v>
      </c>
      <c r="D32" s="3">
        <f>+D31</f>
        <v>728749.83299999998</v>
      </c>
      <c r="E32" s="3">
        <f>+E31</f>
        <v>535685.85100000002</v>
      </c>
      <c r="F32" s="3">
        <f t="shared" si="1"/>
        <v>58299.986640000003</v>
      </c>
    </row>
    <row r="33" spans="1:6" x14ac:dyDescent="0.25">
      <c r="A33" s="7"/>
      <c r="B33" s="10">
        <v>22</v>
      </c>
      <c r="C33" s="11" t="s">
        <v>12</v>
      </c>
      <c r="D33" s="3">
        <v>0</v>
      </c>
      <c r="E33" s="3">
        <v>0</v>
      </c>
      <c r="F33" s="3">
        <f t="shared" si="1"/>
        <v>0</v>
      </c>
    </row>
    <row r="34" spans="1:6" x14ac:dyDescent="0.25">
      <c r="A34" s="7"/>
      <c r="B34" s="10" t="s">
        <v>11</v>
      </c>
      <c r="C34" s="9" t="s">
        <v>10</v>
      </c>
      <c r="D34" s="3">
        <v>0</v>
      </c>
      <c r="E34" s="3">
        <v>0</v>
      </c>
      <c r="F34" s="3">
        <f t="shared" si="1"/>
        <v>0</v>
      </c>
    </row>
    <row r="35" spans="1:6" x14ac:dyDescent="0.25">
      <c r="A35" s="7"/>
      <c r="B35" s="10">
        <v>23</v>
      </c>
      <c r="C35" s="9" t="s">
        <v>9</v>
      </c>
      <c r="D35" s="8">
        <f>775464116/1000</f>
        <v>775464.11600000004</v>
      </c>
      <c r="E35" s="8">
        <f>642592133/1000</f>
        <v>642592.13300000003</v>
      </c>
      <c r="F35" s="3">
        <f t="shared" si="1"/>
        <v>62037.129280000001</v>
      </c>
    </row>
    <row r="36" spans="1:6" x14ac:dyDescent="0.25">
      <c r="A36" s="7"/>
      <c r="B36" s="10" t="s">
        <v>8</v>
      </c>
      <c r="C36" s="9" t="s">
        <v>7</v>
      </c>
      <c r="D36" s="3">
        <f>+D35</f>
        <v>775464.11600000004</v>
      </c>
      <c r="E36" s="3">
        <f>+E35</f>
        <v>642592.13300000003</v>
      </c>
      <c r="F36" s="3">
        <f t="shared" si="1"/>
        <v>62037.129280000001</v>
      </c>
    </row>
    <row r="37" spans="1:6" x14ac:dyDescent="0.25">
      <c r="A37" s="7"/>
      <c r="B37" s="10" t="s">
        <v>6</v>
      </c>
      <c r="C37" s="9" t="s">
        <v>5</v>
      </c>
      <c r="D37" s="3">
        <v>0</v>
      </c>
      <c r="E37" s="3">
        <v>0</v>
      </c>
      <c r="F37" s="3">
        <f t="shared" si="1"/>
        <v>0</v>
      </c>
    </row>
    <row r="38" spans="1:6" x14ac:dyDescent="0.25">
      <c r="A38" s="7"/>
      <c r="B38" s="10" t="s">
        <v>4</v>
      </c>
      <c r="C38" s="9" t="s">
        <v>3</v>
      </c>
      <c r="D38" s="3">
        <v>0</v>
      </c>
      <c r="E38" s="3">
        <v>0</v>
      </c>
      <c r="F38" s="3">
        <f t="shared" si="1"/>
        <v>0</v>
      </c>
    </row>
    <row r="39" spans="1:6" ht="30" x14ac:dyDescent="0.25">
      <c r="A39" s="7"/>
      <c r="B39" s="10">
        <v>24</v>
      </c>
      <c r="C39" s="9" t="s">
        <v>2</v>
      </c>
      <c r="D39" s="3">
        <v>0</v>
      </c>
      <c r="E39" s="3">
        <v>0</v>
      </c>
      <c r="F39" s="3">
        <f t="shared" si="1"/>
        <v>0</v>
      </c>
    </row>
    <row r="40" spans="1:6" x14ac:dyDescent="0.25">
      <c r="A40" s="7"/>
      <c r="B40" s="10">
        <v>25</v>
      </c>
      <c r="C40" s="9" t="s">
        <v>1</v>
      </c>
      <c r="D40" s="8"/>
      <c r="E40" s="8"/>
      <c r="F40" s="8"/>
    </row>
    <row r="41" spans="1:6" x14ac:dyDescent="0.25">
      <c r="A41" s="7"/>
      <c r="B41" s="10">
        <v>26</v>
      </c>
      <c r="C41" s="9" t="s">
        <v>1</v>
      </c>
      <c r="D41" s="8"/>
      <c r="E41" s="8"/>
      <c r="F41" s="8"/>
    </row>
    <row r="42" spans="1:6" x14ac:dyDescent="0.25">
      <c r="A42" s="7"/>
      <c r="B42" s="10">
        <v>27</v>
      </c>
      <c r="C42" s="9" t="s">
        <v>1</v>
      </c>
      <c r="D42" s="8"/>
      <c r="E42" s="8"/>
      <c r="F42" s="8"/>
    </row>
    <row r="43" spans="1:6" x14ac:dyDescent="0.25">
      <c r="A43" s="7"/>
      <c r="B43" s="10">
        <v>28</v>
      </c>
      <c r="C43" s="9" t="s">
        <v>1</v>
      </c>
      <c r="D43" s="8"/>
      <c r="E43" s="8"/>
      <c r="F43" s="8"/>
    </row>
    <row r="44" spans="1:6" x14ac:dyDescent="0.25">
      <c r="A44" s="7"/>
      <c r="B44" s="6">
        <v>29</v>
      </c>
      <c r="C44" s="5" t="s">
        <v>0</v>
      </c>
      <c r="D44" s="4">
        <f>+D8+D14+D25+D26+D31+D34+D35</f>
        <v>5136453.4890000001</v>
      </c>
      <c r="E44" s="4">
        <f>+E8+E14+E25+E26+E31+E34+E35</f>
        <v>4488625.6330000004</v>
      </c>
      <c r="F44" s="3">
        <f>+D44*0.08</f>
        <v>410916.27912000002</v>
      </c>
    </row>
  </sheetData>
  <mergeCells count="2">
    <mergeCell ref="D5:E5"/>
    <mergeCell ref="B5:C7"/>
  </mergeCells>
  <hyperlinks>
    <hyperlink ref="B2" location="Indhold!B4" display="Skema EU OV1 – Oversigt over samlede risikoeksponeringer" xr:uid="{3494BFF6-8210-47A4-9089-286BC6490730}"/>
  </hyperlinks>
  <pageMargins left="0.7" right="0.7" top="0.75" bottom="0.75" header="0.3" footer="0.3"/>
  <pageSetup paperSize="9" orientation="landscape" r:id="rId1"/>
  <headerFooter>
    <oddHeader>&amp;CDA
Bilag I</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4ABFC-4559-48FD-98EA-0CD3035C46AE}">
  <dimension ref="A1:J134"/>
  <sheetViews>
    <sheetView showGridLines="0" topLeftCell="A14" zoomScaleNormal="100" zoomScalePageLayoutView="80" workbookViewId="0">
      <selection activeCell="F1" sqref="F1"/>
    </sheetView>
  </sheetViews>
  <sheetFormatPr defaultRowHeight="15" x14ac:dyDescent="0.25"/>
  <cols>
    <col min="1" max="1" width="4.42578125" customWidth="1"/>
    <col min="2" max="2" width="8.42578125" customWidth="1"/>
    <col min="3" max="3" width="60.140625" customWidth="1"/>
    <col min="4" max="4" width="11.42578125" customWidth="1"/>
    <col min="5" max="5" width="11" customWidth="1"/>
    <col min="6" max="6" width="10.5703125" customWidth="1"/>
    <col min="7" max="7" width="11.5703125" customWidth="1"/>
    <col min="8" max="8" width="10.5703125" customWidth="1"/>
    <col min="13" max="13" width="10" bestFit="1" customWidth="1"/>
  </cols>
  <sheetData>
    <row r="1" spans="1:8" x14ac:dyDescent="0.25">
      <c r="A1" s="15"/>
    </row>
    <row r="2" spans="1:8" ht="18.75" x14ac:dyDescent="0.3">
      <c r="A2" s="15"/>
      <c r="B2" s="416" t="s">
        <v>98</v>
      </c>
    </row>
    <row r="3" spans="1:8" x14ac:dyDescent="0.25">
      <c r="A3" s="15"/>
      <c r="B3" s="32"/>
    </row>
    <row r="4" spans="1:8" x14ac:dyDescent="0.25">
      <c r="A4" s="15"/>
    </row>
    <row r="5" spans="1:8" ht="15" customHeight="1" x14ac:dyDescent="0.25">
      <c r="A5" s="15"/>
      <c r="B5" s="936" t="s">
        <v>1423</v>
      </c>
      <c r="C5" s="936"/>
      <c r="D5" s="768" t="s">
        <v>103</v>
      </c>
      <c r="E5" s="768" t="s">
        <v>102</v>
      </c>
      <c r="F5" s="768" t="s">
        <v>97</v>
      </c>
      <c r="G5" s="818" t="s">
        <v>96</v>
      </c>
      <c r="H5" s="818" t="s">
        <v>95</v>
      </c>
    </row>
    <row r="6" spans="1:8" ht="30" x14ac:dyDescent="0.25">
      <c r="A6" s="15"/>
      <c r="B6" s="937"/>
      <c r="C6" s="937"/>
      <c r="D6" s="818">
        <v>2024</v>
      </c>
      <c r="E6" s="867" t="s">
        <v>1587</v>
      </c>
      <c r="F6" s="908">
        <v>2023</v>
      </c>
      <c r="G6" s="908" t="s">
        <v>1498</v>
      </c>
      <c r="H6" s="908">
        <v>2022</v>
      </c>
    </row>
    <row r="7" spans="1:8" x14ac:dyDescent="0.25">
      <c r="A7" s="15"/>
      <c r="B7" s="30"/>
      <c r="C7" s="941" t="s">
        <v>94</v>
      </c>
      <c r="D7" s="942"/>
      <c r="E7" s="942"/>
      <c r="F7" s="942"/>
      <c r="G7" s="942"/>
      <c r="H7" s="943"/>
    </row>
    <row r="8" spans="1:8" x14ac:dyDescent="0.25">
      <c r="A8" s="15"/>
      <c r="B8" s="16">
        <v>1</v>
      </c>
      <c r="C8" s="28" t="s">
        <v>93</v>
      </c>
      <c r="D8" s="29">
        <f>1237984620/1000</f>
        <v>1237984.6200000001</v>
      </c>
      <c r="E8" s="29">
        <f>1145176114/1000</f>
        <v>1145176.1140000001</v>
      </c>
      <c r="F8" s="29">
        <f>1153155481/1000</f>
        <v>1153155.4809999999</v>
      </c>
      <c r="G8" s="29">
        <f>1039286650/1000</f>
        <v>1039286.65</v>
      </c>
      <c r="H8" s="29">
        <f>1057075648/1000</f>
        <v>1057075.648</v>
      </c>
    </row>
    <row r="9" spans="1:8" x14ac:dyDescent="0.25">
      <c r="A9" s="15"/>
      <c r="B9" s="16">
        <v>2</v>
      </c>
      <c r="C9" s="28" t="s">
        <v>92</v>
      </c>
      <c r="D9" s="29">
        <f t="shared" ref="D9:E10" si="0">+D8</f>
        <v>1237984.6200000001</v>
      </c>
      <c r="E9" s="29">
        <f t="shared" si="0"/>
        <v>1145176.1140000001</v>
      </c>
      <c r="F9" s="29">
        <f t="shared" ref="F9:H9" si="1">+F8</f>
        <v>1153155.4809999999</v>
      </c>
      <c r="G9" s="29">
        <f t="shared" si="1"/>
        <v>1039286.65</v>
      </c>
      <c r="H9" s="29">
        <f t="shared" si="1"/>
        <v>1057075.648</v>
      </c>
    </row>
    <row r="10" spans="1:8" x14ac:dyDescent="0.25">
      <c r="A10" s="15"/>
      <c r="B10" s="16">
        <v>3</v>
      </c>
      <c r="C10" s="28" t="s">
        <v>91</v>
      </c>
      <c r="D10" s="29">
        <f t="shared" si="0"/>
        <v>1237984.6200000001</v>
      </c>
      <c r="E10" s="29">
        <f t="shared" si="0"/>
        <v>1145176.1140000001</v>
      </c>
      <c r="F10" s="29">
        <f t="shared" ref="F10:H10" si="2">+F9</f>
        <v>1153155.4809999999</v>
      </c>
      <c r="G10" s="29">
        <f t="shared" si="2"/>
        <v>1039286.65</v>
      </c>
      <c r="H10" s="29">
        <f t="shared" si="2"/>
        <v>1057075.648</v>
      </c>
    </row>
    <row r="11" spans="1:8" x14ac:dyDescent="0.25">
      <c r="A11" s="15"/>
      <c r="B11" s="21"/>
      <c r="C11" s="938" t="s">
        <v>90</v>
      </c>
      <c r="D11" s="939"/>
      <c r="E11" s="939"/>
      <c r="F11" s="939"/>
      <c r="G11" s="939"/>
      <c r="H11" s="940"/>
    </row>
    <row r="12" spans="1:8" x14ac:dyDescent="0.25">
      <c r="A12" s="15"/>
      <c r="B12" s="16">
        <v>4</v>
      </c>
      <c r="C12" s="28" t="s">
        <v>89</v>
      </c>
      <c r="D12" s="29">
        <f>5136453489/1000</f>
        <v>5136453.4890000001</v>
      </c>
      <c r="E12" s="29">
        <f>4652103572/1000</f>
        <v>4652103.5719999997</v>
      </c>
      <c r="F12" s="29">
        <f>4488625633/1000</f>
        <v>4488625.6330000004</v>
      </c>
      <c r="G12" s="29">
        <f>4259732006/1000</f>
        <v>4259732.0060000001</v>
      </c>
      <c r="H12" s="29">
        <f>4101602602/1000</f>
        <v>4101602.602</v>
      </c>
    </row>
    <row r="13" spans="1:8" ht="15" customHeight="1" x14ac:dyDescent="0.25">
      <c r="A13" s="15"/>
      <c r="B13" s="21"/>
      <c r="C13" s="944" t="s">
        <v>88</v>
      </c>
      <c r="D13" s="945"/>
      <c r="E13" s="945"/>
      <c r="F13" s="945"/>
      <c r="G13" s="945"/>
      <c r="H13" s="946"/>
    </row>
    <row r="14" spans="1:8" x14ac:dyDescent="0.25">
      <c r="A14" s="15"/>
      <c r="B14" s="16">
        <v>5</v>
      </c>
      <c r="C14" s="28" t="s">
        <v>87</v>
      </c>
      <c r="D14" s="22">
        <f>+D10/D12*100</f>
        <v>24.101933808048937</v>
      </c>
      <c r="E14" s="22">
        <f>+E10/E12*100</f>
        <v>24.61630736023519</v>
      </c>
      <c r="F14" s="22">
        <f>+F10/F12*100</f>
        <v>25.690613904668218</v>
      </c>
      <c r="G14" s="22">
        <f>+G10/G12*100</f>
        <v>24.397935093947787</v>
      </c>
      <c r="H14" s="22">
        <f>+H10/H12*100</f>
        <v>25.772259055144808</v>
      </c>
    </row>
    <row r="15" spans="1:8" x14ac:dyDescent="0.25">
      <c r="A15" s="15"/>
      <c r="B15" s="16">
        <v>6</v>
      </c>
      <c r="C15" s="28" t="s">
        <v>86</v>
      </c>
      <c r="D15" s="22">
        <f t="shared" ref="D15:E16" si="3">+D14</f>
        <v>24.101933808048937</v>
      </c>
      <c r="E15" s="22">
        <f t="shared" si="3"/>
        <v>24.61630736023519</v>
      </c>
      <c r="F15" s="22">
        <f t="shared" ref="F15:H15" si="4">+F14</f>
        <v>25.690613904668218</v>
      </c>
      <c r="G15" s="22">
        <f t="shared" si="4"/>
        <v>24.397935093947787</v>
      </c>
      <c r="H15" s="22">
        <f t="shared" si="4"/>
        <v>25.772259055144808</v>
      </c>
    </row>
    <row r="16" spans="1:8" x14ac:dyDescent="0.25">
      <c r="A16" s="15"/>
      <c r="B16" s="16">
        <v>7</v>
      </c>
      <c r="C16" s="28" t="s">
        <v>85</v>
      </c>
      <c r="D16" s="22">
        <f t="shared" si="3"/>
        <v>24.101933808048937</v>
      </c>
      <c r="E16" s="22">
        <f t="shared" si="3"/>
        <v>24.61630736023519</v>
      </c>
      <c r="F16" s="22">
        <f t="shared" ref="F16:H16" si="5">+F15</f>
        <v>25.690613904668218</v>
      </c>
      <c r="G16" s="22">
        <f t="shared" si="5"/>
        <v>24.397935093947787</v>
      </c>
      <c r="H16" s="22">
        <f t="shared" si="5"/>
        <v>25.772259055144808</v>
      </c>
    </row>
    <row r="17" spans="1:8" ht="29.1" customHeight="1" x14ac:dyDescent="0.25">
      <c r="A17" s="15"/>
      <c r="B17" s="21"/>
      <c r="C17" s="947" t="s">
        <v>84</v>
      </c>
      <c r="D17" s="948"/>
      <c r="E17" s="948"/>
      <c r="F17" s="948"/>
      <c r="G17" s="948"/>
      <c r="H17" s="949"/>
    </row>
    <row r="18" spans="1:8" ht="30" x14ac:dyDescent="0.25">
      <c r="A18" s="15"/>
      <c r="B18" s="16" t="s">
        <v>83</v>
      </c>
      <c r="C18" s="9" t="s">
        <v>82</v>
      </c>
      <c r="D18" s="22">
        <v>0.98</v>
      </c>
      <c r="E18" s="22">
        <v>0.96</v>
      </c>
      <c r="F18" s="22">
        <v>0.96</v>
      </c>
      <c r="G18" s="22">
        <v>1.01</v>
      </c>
      <c r="H18" s="22">
        <v>1.01</v>
      </c>
    </row>
    <row r="19" spans="1:8" x14ac:dyDescent="0.25">
      <c r="A19" s="15"/>
      <c r="B19" s="16" t="s">
        <v>81</v>
      </c>
      <c r="C19" s="9" t="s">
        <v>56</v>
      </c>
      <c r="D19" s="22">
        <v>0.55000000000000004</v>
      </c>
      <c r="E19" s="22">
        <v>0.32</v>
      </c>
      <c r="F19" s="22">
        <v>0.54</v>
      </c>
      <c r="G19" s="22">
        <v>0.34</v>
      </c>
      <c r="H19" s="22">
        <v>0.34</v>
      </c>
    </row>
    <row r="20" spans="1:8" x14ac:dyDescent="0.25">
      <c r="A20" s="15"/>
      <c r="B20" s="16" t="s">
        <v>80</v>
      </c>
      <c r="C20" s="9" t="s">
        <v>79</v>
      </c>
      <c r="D20" s="22">
        <v>0.74</v>
      </c>
      <c r="E20" s="22">
        <v>0.43</v>
      </c>
      <c r="F20" s="22">
        <v>0.72</v>
      </c>
      <c r="G20" s="22">
        <v>0.45</v>
      </c>
      <c r="H20" s="22">
        <v>0.45</v>
      </c>
    </row>
    <row r="21" spans="1:8" x14ac:dyDescent="0.25">
      <c r="A21" s="15"/>
      <c r="B21" s="16" t="s">
        <v>78</v>
      </c>
      <c r="C21" s="9" t="s">
        <v>77</v>
      </c>
      <c r="D21" s="22">
        <v>9.8000000000000007</v>
      </c>
      <c r="E21" s="22">
        <v>9.6999999999999993</v>
      </c>
      <c r="F21" s="22">
        <v>9.6</v>
      </c>
      <c r="G21" s="22">
        <v>9.8000000000000007</v>
      </c>
      <c r="H21" s="22">
        <v>9.8000000000000007</v>
      </c>
    </row>
    <row r="22" spans="1:8" ht="15.75" customHeight="1" x14ac:dyDescent="0.25">
      <c r="A22" s="15"/>
      <c r="B22" s="21"/>
      <c r="C22" s="947" t="s">
        <v>76</v>
      </c>
      <c r="D22" s="948"/>
      <c r="E22" s="948"/>
      <c r="F22" s="948"/>
      <c r="G22" s="948"/>
      <c r="H22" s="949"/>
    </row>
    <row r="23" spans="1:8" x14ac:dyDescent="0.25">
      <c r="A23" s="15"/>
      <c r="B23" s="16">
        <v>8</v>
      </c>
      <c r="C23" s="28" t="s">
        <v>75</v>
      </c>
      <c r="D23" s="22">
        <v>2.5</v>
      </c>
      <c r="E23" s="22">
        <v>2.5</v>
      </c>
      <c r="F23" s="22">
        <v>2.5</v>
      </c>
      <c r="G23" s="22">
        <v>2.5</v>
      </c>
      <c r="H23" s="22">
        <v>2.5</v>
      </c>
    </row>
    <row r="24" spans="1:8" ht="30" x14ac:dyDescent="0.25">
      <c r="A24" s="15"/>
      <c r="B24" s="16" t="s">
        <v>25</v>
      </c>
      <c r="C24" s="28" t="s">
        <v>74</v>
      </c>
      <c r="D24" s="22">
        <v>0</v>
      </c>
      <c r="E24" s="22">
        <v>0</v>
      </c>
      <c r="F24" s="22">
        <v>0</v>
      </c>
      <c r="G24" s="22">
        <v>0</v>
      </c>
      <c r="H24" s="22">
        <v>0</v>
      </c>
    </row>
    <row r="25" spans="1:8" x14ac:dyDescent="0.25">
      <c r="A25" s="15"/>
      <c r="B25" s="16">
        <v>9</v>
      </c>
      <c r="C25" s="28" t="s">
        <v>73</v>
      </c>
      <c r="D25" s="22">
        <v>2.5</v>
      </c>
      <c r="E25" s="22">
        <v>2.5</v>
      </c>
      <c r="F25" s="22">
        <v>2.5</v>
      </c>
      <c r="G25" s="22">
        <v>2.5</v>
      </c>
      <c r="H25" s="22">
        <v>2</v>
      </c>
    </row>
    <row r="26" spans="1:8" x14ac:dyDescent="0.25">
      <c r="A26" s="15"/>
      <c r="B26" s="16" t="s">
        <v>72</v>
      </c>
      <c r="C26" s="28" t="s">
        <v>71</v>
      </c>
      <c r="D26" s="22">
        <v>0.51</v>
      </c>
      <c r="E26" s="22">
        <v>0.53</v>
      </c>
      <c r="F26" s="22">
        <v>0</v>
      </c>
      <c r="G26" s="22">
        <v>0</v>
      </c>
      <c r="H26" s="22">
        <v>0</v>
      </c>
    </row>
    <row r="27" spans="1:8" x14ac:dyDescent="0.25">
      <c r="A27" s="15"/>
      <c r="B27" s="16">
        <v>10</v>
      </c>
      <c r="C27" s="28" t="s">
        <v>70</v>
      </c>
      <c r="D27" s="22">
        <v>0</v>
      </c>
      <c r="E27" s="22">
        <v>0</v>
      </c>
      <c r="F27" s="22">
        <v>0</v>
      </c>
      <c r="G27" s="22">
        <v>0</v>
      </c>
      <c r="H27" s="22">
        <v>0</v>
      </c>
    </row>
    <row r="28" spans="1:8" x14ac:dyDescent="0.25">
      <c r="A28" s="15"/>
      <c r="B28" s="16" t="s">
        <v>69</v>
      </c>
      <c r="C28" s="9" t="s">
        <v>68</v>
      </c>
      <c r="D28" s="22">
        <v>0</v>
      </c>
      <c r="E28" s="22">
        <v>0</v>
      </c>
      <c r="F28" s="22">
        <v>0</v>
      </c>
      <c r="G28" s="22">
        <v>0</v>
      </c>
      <c r="H28" s="22">
        <v>0</v>
      </c>
    </row>
    <row r="29" spans="1:8" x14ac:dyDescent="0.25">
      <c r="A29" s="15"/>
      <c r="B29" s="16">
        <v>11</v>
      </c>
      <c r="C29" s="28" t="s">
        <v>67</v>
      </c>
      <c r="D29" s="22">
        <v>5.51</v>
      </c>
      <c r="E29" s="22">
        <v>5.53</v>
      </c>
      <c r="F29" s="22">
        <v>5</v>
      </c>
      <c r="G29" s="22">
        <v>5</v>
      </c>
      <c r="H29" s="22">
        <v>4.5</v>
      </c>
    </row>
    <row r="30" spans="1:8" x14ac:dyDescent="0.25">
      <c r="A30" s="15"/>
      <c r="B30" s="16" t="s">
        <v>66</v>
      </c>
      <c r="C30" s="28" t="s">
        <v>65</v>
      </c>
      <c r="D30" s="22">
        <f>+D21+D29</f>
        <v>15.31</v>
      </c>
      <c r="E30" s="22">
        <f>+E21+E29</f>
        <v>15.23</v>
      </c>
      <c r="F30" s="22">
        <f>+F21+F29</f>
        <v>14.6</v>
      </c>
      <c r="G30" s="22">
        <f>+G21+G29</f>
        <v>14.8</v>
      </c>
      <c r="H30" s="22">
        <f>+H21+H29</f>
        <v>14.3</v>
      </c>
    </row>
    <row r="31" spans="1:8" ht="14.45" customHeight="1" x14ac:dyDescent="0.25">
      <c r="A31" s="15"/>
      <c r="B31" s="16">
        <v>12</v>
      </c>
      <c r="C31" s="28" t="s">
        <v>64</v>
      </c>
      <c r="D31" s="22">
        <f>+D16-D21</f>
        <v>14.301933808048936</v>
      </c>
      <c r="E31" s="22">
        <f>+E16-E21</f>
        <v>14.916307360235191</v>
      </c>
      <c r="F31" s="22">
        <f>+F16-F21</f>
        <v>16.090613904668217</v>
      </c>
      <c r="G31" s="22">
        <f>+G16-G21</f>
        <v>14.597935093947786</v>
      </c>
      <c r="H31" s="22">
        <f>+H16-H21</f>
        <v>15.972259055144807</v>
      </c>
    </row>
    <row r="32" spans="1:8" x14ac:dyDescent="0.25">
      <c r="A32" s="15"/>
      <c r="B32" s="21"/>
      <c r="C32" s="938" t="s">
        <v>63</v>
      </c>
      <c r="D32" s="939"/>
      <c r="E32" s="939"/>
      <c r="F32" s="939"/>
      <c r="G32" s="939"/>
      <c r="H32" s="940"/>
    </row>
    <row r="33" spans="1:8" x14ac:dyDescent="0.25">
      <c r="A33" s="15"/>
      <c r="B33" s="16">
        <v>13</v>
      </c>
      <c r="C33" s="18" t="s">
        <v>62</v>
      </c>
      <c r="D33" s="23">
        <v>10850676</v>
      </c>
      <c r="E33" s="23">
        <v>10530859</v>
      </c>
      <c r="F33" s="23">
        <v>9939108</v>
      </c>
      <c r="G33" s="23">
        <v>9774130</v>
      </c>
      <c r="H33" s="23">
        <v>9971412</v>
      </c>
    </row>
    <row r="34" spans="1:8" x14ac:dyDescent="0.25">
      <c r="A34" s="15"/>
      <c r="B34" s="13">
        <v>14</v>
      </c>
      <c r="C34" s="24" t="s">
        <v>61</v>
      </c>
      <c r="D34" s="22">
        <v>11.41</v>
      </c>
      <c r="E34" s="22">
        <v>10.9</v>
      </c>
      <c r="F34" s="22">
        <v>11.6</v>
      </c>
      <c r="G34" s="22">
        <v>10.63</v>
      </c>
      <c r="H34" s="22">
        <v>10.6</v>
      </c>
    </row>
    <row r="35" spans="1:8" ht="15" customHeight="1" x14ac:dyDescent="0.25">
      <c r="B35" s="21"/>
      <c r="C35" s="947" t="s">
        <v>60</v>
      </c>
      <c r="D35" s="948"/>
      <c r="E35" s="948"/>
      <c r="F35" s="948"/>
      <c r="G35" s="948"/>
      <c r="H35" s="949"/>
    </row>
    <row r="36" spans="1:8" s="25" customFormat="1" ht="30" x14ac:dyDescent="0.25">
      <c r="B36" s="13" t="s">
        <v>59</v>
      </c>
      <c r="C36" s="9" t="s">
        <v>58</v>
      </c>
      <c r="D36" s="26">
        <v>0</v>
      </c>
      <c r="E36" s="26">
        <v>0</v>
      </c>
      <c r="F36" s="26">
        <v>0</v>
      </c>
      <c r="G36" s="26">
        <v>0</v>
      </c>
      <c r="H36" s="26">
        <v>0</v>
      </c>
    </row>
    <row r="37" spans="1:8" s="25" customFormat="1" x14ac:dyDescent="0.25">
      <c r="B37" s="13" t="s">
        <v>57</v>
      </c>
      <c r="C37" s="9" t="s">
        <v>56</v>
      </c>
      <c r="D37" s="26">
        <v>0</v>
      </c>
      <c r="E37" s="26">
        <v>0</v>
      </c>
      <c r="F37" s="26">
        <v>0</v>
      </c>
      <c r="G37" s="26">
        <v>0</v>
      </c>
      <c r="H37" s="26">
        <v>0</v>
      </c>
    </row>
    <row r="38" spans="1:8" s="25" customFormat="1" x14ac:dyDescent="0.25">
      <c r="B38" s="13" t="s">
        <v>55</v>
      </c>
      <c r="C38" s="9" t="s">
        <v>54</v>
      </c>
      <c r="D38" s="26">
        <v>3</v>
      </c>
      <c r="E38" s="26">
        <v>3</v>
      </c>
      <c r="F38" s="26">
        <v>3</v>
      </c>
      <c r="G38" s="26">
        <v>3</v>
      </c>
      <c r="H38" s="26">
        <v>3</v>
      </c>
    </row>
    <row r="39" spans="1:8" s="25" customFormat="1" ht="15" customHeight="1" x14ac:dyDescent="0.25">
      <c r="B39" s="21"/>
      <c r="C39" s="947" t="s">
        <v>53</v>
      </c>
      <c r="D39" s="948"/>
      <c r="E39" s="948"/>
      <c r="F39" s="948"/>
      <c r="G39" s="948"/>
      <c r="H39" s="949"/>
    </row>
    <row r="40" spans="1:8" s="25" customFormat="1" x14ac:dyDescent="0.25">
      <c r="B40" s="13" t="s">
        <v>52</v>
      </c>
      <c r="C40" s="27" t="s">
        <v>51</v>
      </c>
      <c r="D40" s="26">
        <v>0</v>
      </c>
      <c r="E40" s="26">
        <v>0</v>
      </c>
      <c r="F40" s="26">
        <v>0</v>
      </c>
      <c r="G40" s="26">
        <v>0</v>
      </c>
      <c r="H40" s="26">
        <v>0</v>
      </c>
    </row>
    <row r="41" spans="1:8" s="25" customFormat="1" x14ac:dyDescent="0.25">
      <c r="B41" s="13" t="s">
        <v>50</v>
      </c>
      <c r="C41" s="27" t="s">
        <v>49</v>
      </c>
      <c r="D41" s="26">
        <v>3</v>
      </c>
      <c r="E41" s="26">
        <v>3</v>
      </c>
      <c r="F41" s="26">
        <v>3</v>
      </c>
      <c r="G41" s="26">
        <v>3</v>
      </c>
      <c r="H41" s="26">
        <v>3</v>
      </c>
    </row>
    <row r="42" spans="1:8" x14ac:dyDescent="0.25">
      <c r="A42" s="15"/>
      <c r="B42" s="21"/>
      <c r="C42" s="938" t="s">
        <v>48</v>
      </c>
      <c r="D42" s="939"/>
      <c r="E42" s="939"/>
      <c r="F42" s="939"/>
      <c r="G42" s="939"/>
      <c r="H42" s="940"/>
    </row>
    <row r="43" spans="1:8" ht="30" x14ac:dyDescent="0.25">
      <c r="A43" s="15"/>
      <c r="B43" s="16">
        <v>15</v>
      </c>
      <c r="C43" s="18" t="s">
        <v>47</v>
      </c>
      <c r="D43" s="23">
        <v>119</v>
      </c>
      <c r="E43" s="23">
        <v>120</v>
      </c>
      <c r="F43" s="23">
        <v>201</v>
      </c>
      <c r="G43" s="23">
        <v>3589</v>
      </c>
      <c r="H43" s="23">
        <v>4753</v>
      </c>
    </row>
    <row r="44" spans="1:8" x14ac:dyDescent="0.25">
      <c r="A44" s="15"/>
      <c r="B44" s="13" t="s">
        <v>46</v>
      </c>
      <c r="C44" s="24" t="s">
        <v>45</v>
      </c>
      <c r="D44" s="23">
        <f>1294109426/1000</f>
        <v>1294109.426</v>
      </c>
      <c r="E44" s="23">
        <f>1259351001/1000</f>
        <v>1259351.0009999999</v>
      </c>
      <c r="F44" s="23">
        <f>1098754035/1000</f>
        <v>1098754.0349999999</v>
      </c>
      <c r="G44" s="23">
        <v>1074592</v>
      </c>
      <c r="H44" s="23">
        <v>1302629</v>
      </c>
    </row>
    <row r="45" spans="1:8" x14ac:dyDescent="0.25">
      <c r="A45" s="15"/>
      <c r="B45" s="13" t="s">
        <v>44</v>
      </c>
      <c r="C45" s="24" t="s">
        <v>43</v>
      </c>
      <c r="D45" s="23">
        <f>423261001/1000</f>
        <v>423261.00099999999</v>
      </c>
      <c r="E45" s="23">
        <f>402776718/1000</f>
        <v>402776.71799999999</v>
      </c>
      <c r="F45" s="23">
        <f>321866303/1000</f>
        <v>321866.30300000001</v>
      </c>
      <c r="G45" s="23">
        <v>318087</v>
      </c>
      <c r="H45" s="23">
        <v>293759</v>
      </c>
    </row>
    <row r="46" spans="1:8" x14ac:dyDescent="0.25">
      <c r="A46" s="15"/>
      <c r="B46" s="16">
        <v>16</v>
      </c>
      <c r="C46" s="18" t="s">
        <v>42</v>
      </c>
      <c r="D46" s="23">
        <f>+D44-D45</f>
        <v>870848.42500000005</v>
      </c>
      <c r="E46" s="23">
        <f>+E44-E45</f>
        <v>856574.28299999994</v>
      </c>
      <c r="F46" s="23">
        <f>+F44-F45</f>
        <v>776887.73199999984</v>
      </c>
      <c r="G46" s="23">
        <f>+G44-G45</f>
        <v>756505</v>
      </c>
      <c r="H46" s="23">
        <f>+H44-H45</f>
        <v>1008870</v>
      </c>
    </row>
    <row r="47" spans="1:8" x14ac:dyDescent="0.25">
      <c r="A47" s="15"/>
      <c r="B47" s="16">
        <v>17</v>
      </c>
      <c r="C47" s="18" t="s">
        <v>41</v>
      </c>
      <c r="D47" s="22">
        <v>415.06</v>
      </c>
      <c r="E47" s="22">
        <v>426.95</v>
      </c>
      <c r="F47" s="22">
        <v>344.82</v>
      </c>
      <c r="G47" s="22">
        <v>328.9</v>
      </c>
      <c r="H47" s="22">
        <v>362.89</v>
      </c>
    </row>
    <row r="48" spans="1:8" x14ac:dyDescent="0.25">
      <c r="A48" s="15"/>
      <c r="B48" s="21"/>
      <c r="C48" s="938" t="s">
        <v>40</v>
      </c>
      <c r="D48" s="939"/>
      <c r="E48" s="939"/>
      <c r="F48" s="939"/>
      <c r="G48" s="939"/>
      <c r="H48" s="940"/>
    </row>
    <row r="49" spans="1:8" x14ac:dyDescent="0.25">
      <c r="A49" s="15"/>
      <c r="B49" s="16">
        <v>18</v>
      </c>
      <c r="C49" s="18" t="s">
        <v>39</v>
      </c>
      <c r="D49" s="19">
        <v>8007071</v>
      </c>
      <c r="E49" s="19">
        <v>7811087</v>
      </c>
      <c r="F49" s="19">
        <f>7471892800/1000</f>
        <v>7471892.7999999998</v>
      </c>
      <c r="G49" s="19">
        <v>7247327</v>
      </c>
      <c r="H49" s="19">
        <v>7397729</v>
      </c>
    </row>
    <row r="50" spans="1:8" x14ac:dyDescent="0.25">
      <c r="A50" s="15"/>
      <c r="B50" s="16">
        <v>19</v>
      </c>
      <c r="C50" s="20" t="s">
        <v>38</v>
      </c>
      <c r="D50" s="19">
        <v>5160010</v>
      </c>
      <c r="E50" s="19">
        <v>4969760</v>
      </c>
      <c r="F50" s="19">
        <f>4902696337/1000</f>
        <v>4902696.3370000003</v>
      </c>
      <c r="G50" s="19">
        <v>4545112</v>
      </c>
      <c r="H50" s="19">
        <v>4211634</v>
      </c>
    </row>
    <row r="51" spans="1:8" x14ac:dyDescent="0.25">
      <c r="A51" s="15"/>
      <c r="B51" s="16">
        <v>20</v>
      </c>
      <c r="C51" s="18" t="s">
        <v>37</v>
      </c>
      <c r="D51" s="17">
        <f>+D49/D50*100</f>
        <v>155.17549384594216</v>
      </c>
      <c r="E51" s="17">
        <f>+E49/E50*100</f>
        <v>157.17231818035478</v>
      </c>
      <c r="F51" s="17">
        <f>+F49/F50*100</f>
        <v>152.40374451932936</v>
      </c>
      <c r="G51" s="17">
        <f>+G49/G50*100</f>
        <v>159.45321039393531</v>
      </c>
      <c r="H51" s="17">
        <f>+H49/H50*100</f>
        <v>175.64985466448414</v>
      </c>
    </row>
    <row r="52" spans="1:8" x14ac:dyDescent="0.25">
      <c r="A52" s="15"/>
    </row>
    <row r="53" spans="1:8" x14ac:dyDescent="0.25">
      <c r="A53" s="15"/>
    </row>
    <row r="54" spans="1:8" x14ac:dyDescent="0.25">
      <c r="A54" s="15"/>
    </row>
    <row r="55" spans="1:8" x14ac:dyDescent="0.25">
      <c r="A55" s="15"/>
    </row>
    <row r="56" spans="1:8" x14ac:dyDescent="0.25">
      <c r="A56" s="15"/>
    </row>
    <row r="57" spans="1:8" x14ac:dyDescent="0.25">
      <c r="A57" s="15"/>
    </row>
    <row r="58" spans="1:8" x14ac:dyDescent="0.25">
      <c r="A58" s="15"/>
    </row>
    <row r="59" spans="1:8" x14ac:dyDescent="0.25">
      <c r="A59" s="15"/>
    </row>
    <row r="60" spans="1:8" x14ac:dyDescent="0.25">
      <c r="A60" s="15"/>
    </row>
    <row r="61" spans="1:8" x14ac:dyDescent="0.25">
      <c r="A61" s="15"/>
    </row>
    <row r="62" spans="1:8" x14ac:dyDescent="0.25">
      <c r="A62" s="15"/>
    </row>
    <row r="63" spans="1:8" x14ac:dyDescent="0.25">
      <c r="A63" s="15"/>
    </row>
    <row r="64" spans="1:8" x14ac:dyDescent="0.25">
      <c r="A64" s="15"/>
    </row>
    <row r="65" spans="1:1" x14ac:dyDescent="0.25">
      <c r="A65" s="15"/>
    </row>
    <row r="66" spans="1:1" x14ac:dyDescent="0.25">
      <c r="A66" s="15"/>
    </row>
    <row r="67" spans="1:1" x14ac:dyDescent="0.25">
      <c r="A67" s="15"/>
    </row>
    <row r="68" spans="1:1" x14ac:dyDescent="0.25">
      <c r="A68" s="15"/>
    </row>
    <row r="69" spans="1:1" x14ac:dyDescent="0.25">
      <c r="A69" s="15"/>
    </row>
    <row r="70" spans="1:1" x14ac:dyDescent="0.25">
      <c r="A70" s="15"/>
    </row>
    <row r="71" spans="1:1" x14ac:dyDescent="0.25">
      <c r="A71" s="15"/>
    </row>
    <row r="72" spans="1:1" x14ac:dyDescent="0.25">
      <c r="A72" s="15"/>
    </row>
    <row r="73" spans="1:1" x14ac:dyDescent="0.25">
      <c r="A73" s="15"/>
    </row>
    <row r="74" spans="1:1" x14ac:dyDescent="0.25">
      <c r="A74" s="15"/>
    </row>
    <row r="75" spans="1:1" x14ac:dyDescent="0.25">
      <c r="A75" s="15"/>
    </row>
    <row r="76" spans="1:1" x14ac:dyDescent="0.25">
      <c r="A76" s="15"/>
    </row>
    <row r="77" spans="1:1" x14ac:dyDescent="0.25">
      <c r="A77" s="15"/>
    </row>
    <row r="78" spans="1:1" x14ac:dyDescent="0.25">
      <c r="A78" s="15"/>
    </row>
    <row r="79" spans="1:1" x14ac:dyDescent="0.25">
      <c r="A79" s="15"/>
    </row>
    <row r="80" spans="1:1" x14ac:dyDescent="0.25">
      <c r="A80" s="15"/>
    </row>
    <row r="81" spans="1:1" x14ac:dyDescent="0.25">
      <c r="A81" s="15"/>
    </row>
    <row r="82" spans="1:1" x14ac:dyDescent="0.25">
      <c r="A82" s="15"/>
    </row>
    <row r="83" spans="1:1" x14ac:dyDescent="0.25">
      <c r="A83" s="15"/>
    </row>
    <row r="84" spans="1:1" x14ac:dyDescent="0.25">
      <c r="A84" s="15"/>
    </row>
    <row r="85" spans="1:1" x14ac:dyDescent="0.25">
      <c r="A85" s="15"/>
    </row>
    <row r="86" spans="1:1" x14ac:dyDescent="0.25">
      <c r="A86" s="15"/>
    </row>
    <row r="87" spans="1:1" x14ac:dyDescent="0.25">
      <c r="A87" s="15"/>
    </row>
    <row r="88" spans="1:1" x14ac:dyDescent="0.25">
      <c r="A88" s="15"/>
    </row>
    <row r="89" spans="1:1" x14ac:dyDescent="0.25">
      <c r="A89" s="15"/>
    </row>
    <row r="90" spans="1:1" x14ac:dyDescent="0.25">
      <c r="A90" s="15"/>
    </row>
    <row r="91" spans="1:1" x14ac:dyDescent="0.25">
      <c r="A91" s="15"/>
    </row>
    <row r="92" spans="1:1" x14ac:dyDescent="0.25">
      <c r="A92" s="15"/>
    </row>
    <row r="93" spans="1:1" x14ac:dyDescent="0.25">
      <c r="A93" s="15"/>
    </row>
    <row r="94" spans="1:1" x14ac:dyDescent="0.25">
      <c r="A94" s="15"/>
    </row>
    <row r="95" spans="1:1" x14ac:dyDescent="0.25">
      <c r="A95" s="15"/>
    </row>
    <row r="96" spans="1:1" x14ac:dyDescent="0.25">
      <c r="A96" s="15"/>
    </row>
    <row r="97" spans="1:10" x14ac:dyDescent="0.25">
      <c r="A97" s="15"/>
    </row>
    <row r="98" spans="1:10" x14ac:dyDescent="0.25">
      <c r="A98" s="15"/>
    </row>
    <row r="99" spans="1:10" x14ac:dyDescent="0.25">
      <c r="A99" s="15"/>
    </row>
    <row r="100" spans="1:10" x14ac:dyDescent="0.25">
      <c r="A100" s="15"/>
    </row>
    <row r="101" spans="1:10" x14ac:dyDescent="0.25">
      <c r="A101" s="15"/>
    </row>
    <row r="102" spans="1:10" x14ac:dyDescent="0.25">
      <c r="A102" s="15"/>
    </row>
    <row r="103" spans="1:10" x14ac:dyDescent="0.25">
      <c r="A103" s="15"/>
    </row>
    <row r="104" spans="1:10" x14ac:dyDescent="0.25">
      <c r="A104" s="15"/>
    </row>
    <row r="105" spans="1:10" x14ac:dyDescent="0.25">
      <c r="A105" s="15"/>
      <c r="B105" s="15"/>
      <c r="C105" s="15"/>
      <c r="D105" s="15"/>
      <c r="E105" s="15"/>
      <c r="F105" s="15"/>
      <c r="G105" s="15"/>
      <c r="H105" s="15"/>
      <c r="I105" s="15"/>
      <c r="J105" s="15"/>
    </row>
    <row r="106" spans="1:10" x14ac:dyDescent="0.25">
      <c r="A106" s="15"/>
      <c r="B106" s="15"/>
      <c r="C106" s="15"/>
      <c r="D106" s="15"/>
      <c r="E106" s="15"/>
      <c r="F106" s="15"/>
      <c r="G106" s="15"/>
      <c r="H106" s="15"/>
      <c r="I106" s="15"/>
      <c r="J106" s="15"/>
    </row>
    <row r="107" spans="1:10" x14ac:dyDescent="0.25">
      <c r="A107" s="15"/>
      <c r="B107" s="15"/>
      <c r="C107" s="15"/>
      <c r="D107" s="15"/>
      <c r="E107" s="15"/>
      <c r="F107" s="15"/>
      <c r="G107" s="15"/>
      <c r="H107" s="15"/>
      <c r="I107" s="15"/>
      <c r="J107" s="15"/>
    </row>
    <row r="108" spans="1:10" x14ac:dyDescent="0.25">
      <c r="A108" s="15"/>
      <c r="B108" s="15"/>
      <c r="C108" s="15"/>
      <c r="D108" s="15"/>
      <c r="E108" s="15"/>
      <c r="F108" s="15"/>
      <c r="G108" s="15"/>
      <c r="H108" s="15"/>
      <c r="I108" s="15"/>
      <c r="J108" s="15"/>
    </row>
    <row r="109" spans="1:10" x14ac:dyDescent="0.25">
      <c r="A109" s="15"/>
      <c r="B109" s="15"/>
      <c r="C109" s="15"/>
      <c r="D109" s="15"/>
      <c r="E109" s="15"/>
      <c r="F109" s="15"/>
      <c r="G109" s="15"/>
      <c r="H109" s="15"/>
      <c r="I109" s="15"/>
      <c r="J109" s="15"/>
    </row>
    <row r="110" spans="1:10" x14ac:dyDescent="0.25">
      <c r="A110" s="15"/>
      <c r="B110" s="15"/>
      <c r="C110" s="15"/>
      <c r="D110" s="15"/>
      <c r="E110" s="15"/>
      <c r="F110" s="15"/>
      <c r="G110" s="15"/>
      <c r="H110" s="15"/>
      <c r="I110" s="15"/>
      <c r="J110" s="15"/>
    </row>
    <row r="111" spans="1:10" x14ac:dyDescent="0.25">
      <c r="A111" s="15"/>
      <c r="B111" s="15"/>
      <c r="C111" s="15"/>
      <c r="D111" s="15"/>
      <c r="E111" s="15"/>
      <c r="F111" s="15"/>
      <c r="G111" s="15"/>
      <c r="H111" s="15"/>
      <c r="I111" s="15"/>
      <c r="J111" s="15"/>
    </row>
    <row r="112" spans="1:10" x14ac:dyDescent="0.25">
      <c r="A112" s="15"/>
      <c r="B112" s="15"/>
      <c r="C112" s="15"/>
      <c r="D112" s="15"/>
      <c r="E112" s="15"/>
      <c r="F112" s="15"/>
      <c r="G112" s="15"/>
      <c r="H112" s="15"/>
      <c r="I112" s="15"/>
      <c r="J112" s="15"/>
    </row>
    <row r="113" spans="1:10" x14ac:dyDescent="0.25">
      <c r="A113" s="15"/>
      <c r="B113" s="15"/>
      <c r="C113" s="15"/>
      <c r="D113" s="15"/>
      <c r="E113" s="15"/>
      <c r="F113" s="15"/>
      <c r="G113" s="15"/>
      <c r="H113" s="15"/>
      <c r="I113" s="15"/>
      <c r="J113" s="15"/>
    </row>
    <row r="114" spans="1:10" x14ac:dyDescent="0.25">
      <c r="A114" s="15"/>
      <c r="B114" s="15"/>
      <c r="C114" s="15"/>
      <c r="D114" s="15"/>
      <c r="E114" s="15"/>
      <c r="F114" s="15"/>
      <c r="G114" s="15"/>
      <c r="H114" s="15"/>
      <c r="I114" s="15"/>
      <c r="J114" s="15"/>
    </row>
    <row r="115" spans="1:10" x14ac:dyDescent="0.25">
      <c r="A115" s="15"/>
      <c r="B115" s="15"/>
      <c r="C115" s="15"/>
      <c r="D115" s="15"/>
      <c r="E115" s="15"/>
      <c r="F115" s="15"/>
      <c r="G115" s="15"/>
      <c r="H115" s="15"/>
      <c r="I115" s="15"/>
      <c r="J115" s="15"/>
    </row>
    <row r="116" spans="1:10" x14ac:dyDescent="0.25">
      <c r="A116" s="15"/>
      <c r="B116" s="15"/>
      <c r="C116" s="15"/>
      <c r="D116" s="15"/>
      <c r="E116" s="15"/>
      <c r="F116" s="15"/>
      <c r="G116" s="15"/>
      <c r="H116" s="15"/>
      <c r="I116" s="15"/>
      <c r="J116" s="15"/>
    </row>
    <row r="117" spans="1:10" x14ac:dyDescent="0.25">
      <c r="A117" s="15"/>
      <c r="B117" s="15"/>
      <c r="C117" s="15"/>
      <c r="D117" s="15"/>
      <c r="E117" s="15"/>
      <c r="F117" s="15"/>
      <c r="G117" s="15"/>
      <c r="H117" s="15"/>
      <c r="I117" s="15"/>
      <c r="J117" s="15"/>
    </row>
    <row r="118" spans="1:10" x14ac:dyDescent="0.25">
      <c r="A118" s="15"/>
      <c r="B118" s="15"/>
      <c r="C118" s="15"/>
      <c r="D118" s="15"/>
      <c r="E118" s="15"/>
      <c r="F118" s="15"/>
      <c r="G118" s="15"/>
      <c r="H118" s="15"/>
      <c r="I118" s="15"/>
      <c r="J118" s="15"/>
    </row>
    <row r="119" spans="1:10" x14ac:dyDescent="0.25">
      <c r="A119" s="15"/>
      <c r="B119" s="15"/>
      <c r="C119" s="15"/>
      <c r="D119" s="15"/>
      <c r="E119" s="15"/>
      <c r="F119" s="15"/>
      <c r="G119" s="15"/>
      <c r="H119" s="15"/>
      <c r="I119" s="15"/>
      <c r="J119" s="15"/>
    </row>
    <row r="120" spans="1:10" x14ac:dyDescent="0.25">
      <c r="A120" s="15"/>
      <c r="B120" s="15"/>
      <c r="C120" s="15"/>
      <c r="D120" s="15"/>
      <c r="E120" s="15"/>
      <c r="F120" s="15"/>
      <c r="G120" s="15"/>
      <c r="H120" s="15"/>
      <c r="I120" s="15"/>
      <c r="J120" s="15"/>
    </row>
    <row r="121" spans="1:10" x14ac:dyDescent="0.25">
      <c r="A121" s="15"/>
      <c r="B121" s="15"/>
      <c r="C121" s="15"/>
      <c r="D121" s="15"/>
      <c r="E121" s="15"/>
      <c r="F121" s="15"/>
      <c r="G121" s="15"/>
      <c r="H121" s="15"/>
      <c r="I121" s="15"/>
      <c r="J121" s="15"/>
    </row>
    <row r="122" spans="1:10" x14ac:dyDescent="0.25">
      <c r="A122" s="15"/>
      <c r="B122" s="15"/>
      <c r="C122" s="15"/>
      <c r="D122" s="15"/>
      <c r="E122" s="15"/>
      <c r="F122" s="15"/>
      <c r="G122" s="15"/>
      <c r="H122" s="15"/>
      <c r="I122" s="15"/>
      <c r="J122" s="15"/>
    </row>
    <row r="123" spans="1:10" x14ac:dyDescent="0.25">
      <c r="A123" s="15"/>
      <c r="B123" s="15"/>
      <c r="C123" s="15"/>
      <c r="D123" s="15"/>
      <c r="E123" s="15"/>
      <c r="F123" s="15"/>
      <c r="G123" s="15"/>
      <c r="H123" s="15"/>
      <c r="I123" s="15"/>
      <c r="J123" s="15"/>
    </row>
    <row r="124" spans="1:10" x14ac:dyDescent="0.25">
      <c r="A124" s="15"/>
      <c r="B124" s="15"/>
      <c r="C124" s="15"/>
      <c r="D124" s="15"/>
      <c r="E124" s="15"/>
      <c r="F124" s="15"/>
      <c r="G124" s="15"/>
      <c r="H124" s="15"/>
      <c r="I124" s="15"/>
      <c r="J124" s="15"/>
    </row>
    <row r="125" spans="1:10" x14ac:dyDescent="0.25">
      <c r="A125" s="15"/>
      <c r="B125" s="15"/>
      <c r="C125" s="15"/>
      <c r="D125" s="15"/>
      <c r="E125" s="15"/>
      <c r="F125" s="15"/>
      <c r="G125" s="15"/>
      <c r="H125" s="15"/>
      <c r="I125" s="15"/>
      <c r="J125" s="15"/>
    </row>
    <row r="126" spans="1:10" x14ac:dyDescent="0.25">
      <c r="A126" s="15"/>
      <c r="B126" s="15"/>
      <c r="C126" s="15"/>
      <c r="D126" s="15"/>
      <c r="E126" s="15"/>
      <c r="F126" s="15"/>
      <c r="G126" s="15"/>
      <c r="H126" s="15"/>
      <c r="I126" s="15"/>
      <c r="J126" s="15"/>
    </row>
    <row r="127" spans="1:10" x14ac:dyDescent="0.25">
      <c r="A127" s="15"/>
      <c r="B127" s="15"/>
      <c r="C127" s="15"/>
      <c r="D127" s="15"/>
      <c r="E127" s="15"/>
      <c r="F127" s="15"/>
      <c r="G127" s="15"/>
      <c r="H127" s="15"/>
      <c r="I127" s="15"/>
      <c r="J127" s="15"/>
    </row>
    <row r="128" spans="1:10" x14ac:dyDescent="0.25">
      <c r="A128" s="15"/>
      <c r="B128" s="15"/>
      <c r="C128" s="15"/>
      <c r="D128" s="15"/>
      <c r="E128" s="15"/>
      <c r="F128" s="15"/>
      <c r="G128" s="15"/>
      <c r="H128" s="15"/>
      <c r="I128" s="15"/>
      <c r="J128" s="15"/>
    </row>
    <row r="129" spans="1:10" x14ac:dyDescent="0.25">
      <c r="A129" s="15"/>
      <c r="B129" s="15"/>
      <c r="C129" s="15"/>
      <c r="D129" s="15"/>
      <c r="E129" s="15"/>
      <c r="F129" s="15"/>
      <c r="G129" s="15"/>
      <c r="H129" s="15"/>
      <c r="I129" s="15"/>
      <c r="J129" s="15"/>
    </row>
    <row r="130" spans="1:10" x14ac:dyDescent="0.25">
      <c r="A130" s="15"/>
      <c r="B130" s="15"/>
      <c r="C130" s="15"/>
      <c r="D130" s="15"/>
      <c r="E130" s="15"/>
      <c r="F130" s="15"/>
      <c r="G130" s="15"/>
      <c r="H130" s="15"/>
      <c r="I130" s="15"/>
      <c r="J130" s="15"/>
    </row>
    <row r="131" spans="1:10" x14ac:dyDescent="0.25">
      <c r="A131" s="15"/>
      <c r="B131" s="15"/>
      <c r="C131" s="15"/>
      <c r="D131" s="15"/>
      <c r="E131" s="15"/>
      <c r="F131" s="15"/>
      <c r="G131" s="15"/>
      <c r="H131" s="15"/>
      <c r="I131" s="15"/>
      <c r="J131" s="15"/>
    </row>
    <row r="132" spans="1:10" x14ac:dyDescent="0.25">
      <c r="A132" s="15"/>
      <c r="B132" s="15"/>
      <c r="C132" s="15"/>
      <c r="D132" s="15"/>
      <c r="E132" s="15"/>
      <c r="F132" s="15"/>
      <c r="G132" s="15"/>
      <c r="H132" s="15"/>
      <c r="I132" s="15"/>
      <c r="J132" s="15"/>
    </row>
    <row r="133" spans="1:10" x14ac:dyDescent="0.25">
      <c r="A133" s="15"/>
      <c r="B133" s="15"/>
      <c r="C133" s="15"/>
      <c r="D133" s="15"/>
      <c r="E133" s="15"/>
      <c r="F133" s="15"/>
      <c r="G133" s="15"/>
      <c r="H133" s="15"/>
      <c r="I133" s="15"/>
      <c r="J133" s="15"/>
    </row>
    <row r="134" spans="1:10" x14ac:dyDescent="0.25">
      <c r="A134" s="15"/>
      <c r="B134" s="15"/>
      <c r="C134" s="15"/>
      <c r="D134" s="15"/>
      <c r="E134" s="15"/>
      <c r="F134" s="15"/>
      <c r="G134" s="15"/>
      <c r="H134" s="15"/>
      <c r="I134" s="15"/>
      <c r="J134" s="15"/>
    </row>
  </sheetData>
  <mergeCells count="11">
    <mergeCell ref="B5:C6"/>
    <mergeCell ref="C32:H32"/>
    <mergeCell ref="C42:H42"/>
    <mergeCell ref="C48:H48"/>
    <mergeCell ref="C7:H7"/>
    <mergeCell ref="C11:H11"/>
    <mergeCell ref="C13:H13"/>
    <mergeCell ref="C17:H17"/>
    <mergeCell ref="C22:H22"/>
    <mergeCell ref="C35:H35"/>
    <mergeCell ref="C39:H39"/>
  </mergeCells>
  <hyperlinks>
    <hyperlink ref="B2" location="Indhold!B5" display="Skema EU KM1 – Skema om væsentlige målekriterier" xr:uid="{848DC142-25DF-434C-BD8E-C435C0119BAA}"/>
  </hyperlinks>
  <pageMargins left="0.70866141732283472" right="0.70866141732283472" top="0.74803149606299213" bottom="0.74803149606299213" header="0.31496062992125984" footer="0.31496062992125984"/>
  <pageSetup paperSize="9" orientation="landscape" r:id="rId1"/>
  <headerFooter>
    <oddHeader>&amp;CDA
Bilag I</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D20B1-2117-482A-AFF7-B0E0E13651A7}">
  <sheetPr>
    <pageSetUpPr fitToPage="1"/>
  </sheetPr>
  <dimension ref="B2:P59"/>
  <sheetViews>
    <sheetView showGridLines="0" zoomScaleNormal="100" zoomScalePageLayoutView="80" workbookViewId="0">
      <selection activeCell="F1" sqref="F1"/>
    </sheetView>
  </sheetViews>
  <sheetFormatPr defaultColWidth="9.140625" defaultRowHeight="15" x14ac:dyDescent="0.25"/>
  <cols>
    <col min="2" max="2" width="7.5703125" style="39" customWidth="1"/>
    <col min="3" max="3" width="44" customWidth="1"/>
    <col min="4" max="5" width="23" customWidth="1"/>
    <col min="6" max="10" width="21.140625" customWidth="1"/>
    <col min="12" max="12" width="10.5703125" bestFit="1" customWidth="1"/>
  </cols>
  <sheetData>
    <row r="2" spans="2:16" ht="24" customHeight="1" x14ac:dyDescent="0.3">
      <c r="B2" s="416" t="s">
        <v>110</v>
      </c>
      <c r="D2" s="40"/>
      <c r="F2" s="40"/>
      <c r="G2" s="40"/>
      <c r="H2" s="40"/>
      <c r="I2" s="40"/>
      <c r="J2" s="40"/>
    </row>
    <row r="4" spans="2:16" x14ac:dyDescent="0.25">
      <c r="B4"/>
    </row>
    <row r="5" spans="2:16" x14ac:dyDescent="0.25">
      <c r="B5" s="505"/>
      <c r="C5" s="440"/>
      <c r="D5" s="442" t="s">
        <v>103</v>
      </c>
      <c r="E5" s="442" t="s">
        <v>102</v>
      </c>
      <c r="F5" s="442" t="s">
        <v>97</v>
      </c>
      <c r="G5" s="442" t="s">
        <v>96</v>
      </c>
      <c r="H5" s="442" t="s">
        <v>95</v>
      </c>
      <c r="I5" s="442" t="s">
        <v>111</v>
      </c>
      <c r="J5" s="442" t="s">
        <v>112</v>
      </c>
    </row>
    <row r="6" spans="2:16" x14ac:dyDescent="0.25">
      <c r="B6" s="505"/>
      <c r="C6" s="440" t="s">
        <v>113</v>
      </c>
      <c r="D6" s="953" t="s">
        <v>114</v>
      </c>
      <c r="E6" s="955" t="s">
        <v>115</v>
      </c>
      <c r="F6" s="957" t="s">
        <v>116</v>
      </c>
      <c r="G6" s="958"/>
      <c r="H6" s="958"/>
      <c r="I6" s="958"/>
      <c r="J6" s="959"/>
    </row>
    <row r="7" spans="2:16" ht="90.75" customHeight="1" x14ac:dyDescent="0.25">
      <c r="B7" s="505"/>
      <c r="C7" s="441" t="s">
        <v>1423</v>
      </c>
      <c r="D7" s="954"/>
      <c r="E7" s="956"/>
      <c r="F7" s="444" t="s">
        <v>1419</v>
      </c>
      <c r="G7" s="444" t="s">
        <v>1418</v>
      </c>
      <c r="H7" s="444" t="s">
        <v>1420</v>
      </c>
      <c r="I7" s="444" t="s">
        <v>1421</v>
      </c>
      <c r="J7" s="444" t="s">
        <v>117</v>
      </c>
    </row>
    <row r="8" spans="2:16" ht="45" x14ac:dyDescent="0.25">
      <c r="B8" s="451"/>
      <c r="C8" s="42" t="s">
        <v>118</v>
      </c>
      <c r="D8" s="445"/>
      <c r="E8" s="443"/>
      <c r="F8" s="443"/>
      <c r="G8" s="443"/>
      <c r="H8" s="443"/>
      <c r="I8" s="443"/>
      <c r="J8" s="443"/>
      <c r="P8" s="43"/>
    </row>
    <row r="9" spans="2:16" ht="30" x14ac:dyDescent="0.25">
      <c r="B9" s="44">
        <v>1</v>
      </c>
      <c r="C9" s="45" t="s">
        <v>119</v>
      </c>
      <c r="D9" s="910">
        <v>736055</v>
      </c>
      <c r="E9" s="913"/>
      <c r="F9" s="910">
        <f>+D9</f>
        <v>736055</v>
      </c>
      <c r="G9" s="913"/>
      <c r="H9" s="913"/>
      <c r="I9" s="914"/>
      <c r="J9" s="914"/>
    </row>
    <row r="10" spans="2:16" ht="30" x14ac:dyDescent="0.25">
      <c r="B10" s="44">
        <f>+B9+1</f>
        <v>2</v>
      </c>
      <c r="C10" s="45" t="s">
        <v>120</v>
      </c>
      <c r="D10" s="910">
        <v>113158</v>
      </c>
      <c r="E10" s="913"/>
      <c r="F10" s="910">
        <f>+D10</f>
        <v>113158</v>
      </c>
      <c r="G10" s="913"/>
      <c r="H10" s="913"/>
      <c r="I10" s="914"/>
      <c r="J10" s="914"/>
    </row>
    <row r="11" spans="2:16" x14ac:dyDescent="0.25">
      <c r="B11" s="44">
        <f t="shared" ref="B11:B22" si="0">+B10+1</f>
        <v>3</v>
      </c>
      <c r="C11" s="45" t="s">
        <v>121</v>
      </c>
      <c r="D11" s="910">
        <v>0</v>
      </c>
      <c r="E11" s="913"/>
      <c r="F11" s="910">
        <f>+D11</f>
        <v>0</v>
      </c>
      <c r="G11" s="913"/>
      <c r="H11" s="913"/>
      <c r="I11" s="914"/>
      <c r="J11" s="914"/>
    </row>
    <row r="12" spans="2:16" ht="30" x14ac:dyDescent="0.25">
      <c r="B12" s="44">
        <f t="shared" si="0"/>
        <v>4</v>
      </c>
      <c r="C12" s="45" t="s">
        <v>122</v>
      </c>
      <c r="D12" s="910">
        <v>4106151</v>
      </c>
      <c r="E12" s="913"/>
      <c r="F12" s="910">
        <f>+D12</f>
        <v>4106151</v>
      </c>
      <c r="G12" s="913"/>
      <c r="H12" s="913"/>
      <c r="I12" s="914"/>
      <c r="J12" s="914"/>
    </row>
    <row r="13" spans="2:16" x14ac:dyDescent="0.25">
      <c r="B13" s="44">
        <f t="shared" si="0"/>
        <v>5</v>
      </c>
      <c r="C13" s="45" t="s">
        <v>123</v>
      </c>
      <c r="D13" s="910">
        <v>3378197</v>
      </c>
      <c r="E13" s="913"/>
      <c r="F13" s="910"/>
      <c r="G13" s="913"/>
      <c r="H13" s="913"/>
      <c r="I13" s="914">
        <f>+D13</f>
        <v>3378197</v>
      </c>
      <c r="J13" s="914"/>
    </row>
    <row r="14" spans="2:16" x14ac:dyDescent="0.25">
      <c r="B14" s="44">
        <f t="shared" si="0"/>
        <v>6</v>
      </c>
      <c r="C14" s="45" t="s">
        <v>124</v>
      </c>
      <c r="D14" s="910">
        <v>330725</v>
      </c>
      <c r="E14" s="913"/>
      <c r="F14" s="910">
        <f>+D14-J14-I14</f>
        <v>158334.54800000001</v>
      </c>
      <c r="G14" s="913"/>
      <c r="H14" s="913"/>
      <c r="I14" s="914">
        <f>23236+12335</f>
        <v>35571</v>
      </c>
      <c r="J14" s="914">
        <f>-'6'!D31</f>
        <v>136819.45199999999</v>
      </c>
    </row>
    <row r="15" spans="2:16" x14ac:dyDescent="0.25">
      <c r="B15" s="44">
        <f t="shared" si="0"/>
        <v>7</v>
      </c>
      <c r="C15" s="45" t="s">
        <v>125</v>
      </c>
      <c r="D15" s="910">
        <v>54233</v>
      </c>
      <c r="E15" s="913"/>
      <c r="F15" s="910">
        <f>+D15</f>
        <v>54233</v>
      </c>
      <c r="G15" s="913"/>
      <c r="H15" s="913"/>
      <c r="I15" s="914"/>
      <c r="J15" s="914"/>
    </row>
    <row r="16" spans="2:16" x14ac:dyDescent="0.25">
      <c r="B16" s="44">
        <f t="shared" si="0"/>
        <v>8</v>
      </c>
      <c r="C16" s="45" t="s">
        <v>126</v>
      </c>
      <c r="D16" s="910">
        <v>846694</v>
      </c>
      <c r="E16" s="913"/>
      <c r="F16" s="910"/>
      <c r="G16" s="913"/>
      <c r="H16" s="913"/>
      <c r="I16" s="914"/>
      <c r="J16" s="914">
        <f>+D16</f>
        <v>846694</v>
      </c>
    </row>
    <row r="17" spans="2:12" x14ac:dyDescent="0.25">
      <c r="B17" s="44">
        <f t="shared" si="0"/>
        <v>9</v>
      </c>
      <c r="C17" s="45" t="s">
        <v>127</v>
      </c>
      <c r="D17" s="910">
        <v>75469</v>
      </c>
      <c r="E17" s="913"/>
      <c r="F17" s="910">
        <f>+D17</f>
        <v>75469</v>
      </c>
      <c r="G17" s="913"/>
      <c r="H17" s="913"/>
      <c r="I17" s="914"/>
      <c r="J17" s="914"/>
    </row>
    <row r="18" spans="2:12" x14ac:dyDescent="0.25">
      <c r="B18" s="44">
        <f t="shared" si="0"/>
        <v>10</v>
      </c>
      <c r="C18" s="45" t="s">
        <v>128</v>
      </c>
      <c r="D18" s="910">
        <v>3244</v>
      </c>
      <c r="E18" s="913"/>
      <c r="F18" s="910">
        <f>+D18</f>
        <v>3244</v>
      </c>
      <c r="G18" s="913"/>
      <c r="H18" s="913"/>
      <c r="I18" s="914"/>
      <c r="J18" s="914"/>
    </row>
    <row r="19" spans="2:12" x14ac:dyDescent="0.25">
      <c r="B19" s="44">
        <f t="shared" si="0"/>
        <v>11</v>
      </c>
      <c r="C19" s="45" t="s">
        <v>129</v>
      </c>
      <c r="D19" s="910">
        <v>3533</v>
      </c>
      <c r="E19" s="913"/>
      <c r="F19" s="910">
        <f>+D19</f>
        <v>3533</v>
      </c>
      <c r="G19" s="913"/>
      <c r="H19" s="913"/>
      <c r="I19" s="914"/>
      <c r="J19" s="914"/>
    </row>
    <row r="20" spans="2:12" x14ac:dyDescent="0.25">
      <c r="B20" s="451">
        <f t="shared" si="0"/>
        <v>12</v>
      </c>
      <c r="C20" s="45" t="s">
        <v>1494</v>
      </c>
      <c r="D20" s="910">
        <v>0</v>
      </c>
      <c r="E20" s="913"/>
      <c r="F20" s="910">
        <f>+D20</f>
        <v>0</v>
      </c>
      <c r="G20" s="913"/>
      <c r="H20" s="913"/>
      <c r="I20" s="914"/>
      <c r="J20" s="914"/>
    </row>
    <row r="21" spans="2:12" x14ac:dyDescent="0.25">
      <c r="B21" s="44">
        <f>+B20+1</f>
        <v>13</v>
      </c>
      <c r="C21" s="45" t="s">
        <v>130</v>
      </c>
      <c r="D21" s="910">
        <v>146164</v>
      </c>
      <c r="E21" s="913"/>
      <c r="F21" s="910">
        <f>+D21-I21</f>
        <v>116798</v>
      </c>
      <c r="G21" s="913"/>
      <c r="H21" s="913"/>
      <c r="I21" s="914">
        <v>29366</v>
      </c>
      <c r="J21" s="914"/>
    </row>
    <row r="22" spans="2:12" x14ac:dyDescent="0.25">
      <c r="B22" s="44">
        <f t="shared" si="0"/>
        <v>14</v>
      </c>
      <c r="C22" s="45" t="s">
        <v>131</v>
      </c>
      <c r="D22" s="910">
        <v>10155</v>
      </c>
      <c r="E22" s="913"/>
      <c r="F22" s="910">
        <f>+D22</f>
        <v>10155</v>
      </c>
      <c r="G22" s="913"/>
      <c r="H22" s="913"/>
      <c r="I22" s="914"/>
      <c r="J22" s="914"/>
    </row>
    <row r="23" spans="2:12" x14ac:dyDescent="0.25">
      <c r="B23" s="47"/>
      <c r="C23" s="48" t="s">
        <v>132</v>
      </c>
      <c r="D23" s="910">
        <f>SUM(D9:D22)</f>
        <v>9803778</v>
      </c>
      <c r="E23" s="913"/>
      <c r="F23" s="910">
        <f t="shared" ref="F23:J23" si="1">SUM(F9:F22)</f>
        <v>5377130.5480000004</v>
      </c>
      <c r="G23" s="910">
        <f t="shared" si="1"/>
        <v>0</v>
      </c>
      <c r="H23" s="910">
        <f t="shared" si="1"/>
        <v>0</v>
      </c>
      <c r="I23" s="910">
        <f t="shared" si="1"/>
        <v>3443134</v>
      </c>
      <c r="J23" s="910">
        <f t="shared" si="1"/>
        <v>983513.45200000005</v>
      </c>
      <c r="L23" s="353"/>
    </row>
    <row r="24" spans="2:12" x14ac:dyDescent="0.25">
      <c r="B24" s="44"/>
      <c r="C24" s="45"/>
      <c r="D24" s="911"/>
      <c r="E24" s="554"/>
      <c r="F24" s="554"/>
      <c r="G24" s="554"/>
      <c r="H24" s="554"/>
      <c r="I24" s="675"/>
      <c r="J24" s="675"/>
    </row>
    <row r="25" spans="2:12" ht="45" x14ac:dyDescent="0.25">
      <c r="B25" s="44"/>
      <c r="C25" s="42" t="s">
        <v>133</v>
      </c>
      <c r="D25" s="912"/>
      <c r="E25" s="676"/>
      <c r="F25" s="676"/>
      <c r="G25" s="676"/>
      <c r="H25" s="676"/>
      <c r="I25" s="676"/>
      <c r="J25" s="676"/>
    </row>
    <row r="26" spans="2:12" x14ac:dyDescent="0.25">
      <c r="B26" s="49" t="s">
        <v>134</v>
      </c>
      <c r="C26" s="45" t="s">
        <v>135</v>
      </c>
      <c r="D26" s="910">
        <v>199554</v>
      </c>
      <c r="E26" s="913"/>
      <c r="F26" s="913"/>
      <c r="G26" s="913"/>
      <c r="H26" s="913"/>
      <c r="I26" s="914"/>
      <c r="J26" s="914">
        <f>+D26</f>
        <v>199554</v>
      </c>
    </row>
    <row r="27" spans="2:12" x14ac:dyDescent="0.25">
      <c r="B27" s="49">
        <f>+B26+1</f>
        <v>2</v>
      </c>
      <c r="C27" s="45" t="s">
        <v>136</v>
      </c>
      <c r="D27" s="910">
        <v>7203781</v>
      </c>
      <c r="E27" s="913"/>
      <c r="F27" s="913"/>
      <c r="G27" s="913"/>
      <c r="H27" s="913"/>
      <c r="I27" s="914"/>
      <c r="J27" s="914">
        <f t="shared" ref="J27:J37" si="2">+D27</f>
        <v>7203781</v>
      </c>
    </row>
    <row r="28" spans="2:12" x14ac:dyDescent="0.25">
      <c r="B28" s="49">
        <f t="shared" ref="B28:B37" si="3">+B27+1</f>
        <v>3</v>
      </c>
      <c r="C28" s="45" t="s">
        <v>137</v>
      </c>
      <c r="D28" s="910">
        <v>846694</v>
      </c>
      <c r="E28" s="913"/>
      <c r="F28" s="913"/>
      <c r="G28" s="913"/>
      <c r="H28" s="913"/>
      <c r="I28" s="914"/>
      <c r="J28" s="914">
        <f t="shared" si="2"/>
        <v>846694</v>
      </c>
    </row>
    <row r="29" spans="2:12" x14ac:dyDescent="0.25">
      <c r="B29" s="49">
        <f t="shared" si="3"/>
        <v>4</v>
      </c>
      <c r="C29" s="45" t="s">
        <v>1495</v>
      </c>
      <c r="D29" s="910">
        <v>0</v>
      </c>
      <c r="E29" s="913"/>
      <c r="F29" s="913"/>
      <c r="G29" s="913"/>
      <c r="H29" s="913"/>
      <c r="I29" s="914"/>
      <c r="J29" s="914">
        <f t="shared" si="2"/>
        <v>0</v>
      </c>
    </row>
    <row r="30" spans="2:12" x14ac:dyDescent="0.25">
      <c r="B30" s="49">
        <f t="shared" si="3"/>
        <v>5</v>
      </c>
      <c r="C30" s="45" t="s">
        <v>138</v>
      </c>
      <c r="D30" s="910">
        <v>59791</v>
      </c>
      <c r="E30" s="913"/>
      <c r="F30" s="913"/>
      <c r="G30" s="913"/>
      <c r="H30" s="913"/>
      <c r="I30" s="914"/>
      <c r="J30" s="914">
        <f t="shared" si="2"/>
        <v>59791</v>
      </c>
    </row>
    <row r="31" spans="2:12" x14ac:dyDescent="0.25">
      <c r="B31" s="49">
        <f t="shared" si="3"/>
        <v>6</v>
      </c>
      <c r="C31" s="45" t="s">
        <v>131</v>
      </c>
      <c r="D31" s="910">
        <v>17118</v>
      </c>
      <c r="E31" s="913"/>
      <c r="F31" s="913"/>
      <c r="G31" s="913"/>
      <c r="H31" s="913"/>
      <c r="I31" s="914"/>
      <c r="J31" s="914">
        <f t="shared" si="2"/>
        <v>17118</v>
      </c>
    </row>
    <row r="32" spans="2:12" x14ac:dyDescent="0.25">
      <c r="B32" s="49">
        <f t="shared" si="3"/>
        <v>7</v>
      </c>
      <c r="C32" s="45" t="s">
        <v>1588</v>
      </c>
      <c r="D32" s="910">
        <v>46417</v>
      </c>
      <c r="E32" s="913"/>
      <c r="F32" s="913"/>
      <c r="G32" s="913"/>
      <c r="H32" s="913"/>
      <c r="I32" s="914"/>
      <c r="J32" s="914">
        <f t="shared" si="2"/>
        <v>46417</v>
      </c>
    </row>
    <row r="33" spans="2:10" x14ac:dyDescent="0.25">
      <c r="B33" s="915">
        <f>+B32+1</f>
        <v>8</v>
      </c>
      <c r="C33" s="45" t="s">
        <v>139</v>
      </c>
      <c r="D33" s="910">
        <v>75810</v>
      </c>
      <c r="E33" s="913"/>
      <c r="F33" s="913"/>
      <c r="G33" s="913"/>
      <c r="H33" s="913"/>
      <c r="I33" s="914"/>
      <c r="J33" s="914">
        <f t="shared" si="2"/>
        <v>75810</v>
      </c>
    </row>
    <row r="34" spans="2:10" x14ac:dyDescent="0.25">
      <c r="B34" s="49">
        <f t="shared" si="3"/>
        <v>9</v>
      </c>
      <c r="C34" s="45" t="s">
        <v>140</v>
      </c>
      <c r="D34" s="910">
        <v>3718</v>
      </c>
      <c r="E34" s="913"/>
      <c r="F34" s="913"/>
      <c r="G34" s="913"/>
      <c r="H34" s="913"/>
      <c r="I34" s="914"/>
      <c r="J34" s="914">
        <f t="shared" si="2"/>
        <v>3718</v>
      </c>
    </row>
    <row r="35" spans="2:10" x14ac:dyDescent="0.25">
      <c r="B35" s="49">
        <f t="shared" si="3"/>
        <v>10</v>
      </c>
      <c r="C35" s="45" t="s">
        <v>141</v>
      </c>
      <c r="D35" s="910">
        <v>-610</v>
      </c>
      <c r="E35" s="913"/>
      <c r="F35" s="913"/>
      <c r="G35" s="913"/>
      <c r="H35" s="913"/>
      <c r="I35" s="914"/>
      <c r="J35" s="914">
        <f t="shared" si="2"/>
        <v>-610</v>
      </c>
    </row>
    <row r="36" spans="2:10" x14ac:dyDescent="0.25">
      <c r="B36" s="49">
        <f t="shared" si="3"/>
        <v>11</v>
      </c>
      <c r="C36" s="45" t="s">
        <v>142</v>
      </c>
      <c r="D36" s="910">
        <v>1310596</v>
      </c>
      <c r="E36" s="913"/>
      <c r="F36" s="913"/>
      <c r="G36" s="913"/>
      <c r="H36" s="913"/>
      <c r="I36" s="914"/>
      <c r="J36" s="914">
        <f t="shared" si="2"/>
        <v>1310596</v>
      </c>
    </row>
    <row r="37" spans="2:10" x14ac:dyDescent="0.25">
      <c r="B37" s="49">
        <f t="shared" si="3"/>
        <v>12</v>
      </c>
      <c r="C37" s="45" t="s">
        <v>143</v>
      </c>
      <c r="D37" s="910">
        <v>40909</v>
      </c>
      <c r="E37" s="913"/>
      <c r="F37" s="913"/>
      <c r="G37" s="913"/>
      <c r="H37" s="913"/>
      <c r="I37" s="914"/>
      <c r="J37" s="914">
        <f t="shared" si="2"/>
        <v>40909</v>
      </c>
    </row>
    <row r="38" spans="2:10" x14ac:dyDescent="0.25">
      <c r="B38" s="50"/>
      <c r="C38" s="48" t="s">
        <v>144</v>
      </c>
      <c r="D38" s="910">
        <f>SUM(D26:D37)</f>
        <v>9803778</v>
      </c>
      <c r="E38" s="913"/>
      <c r="F38" s="913"/>
      <c r="G38" s="913"/>
      <c r="H38" s="913"/>
      <c r="I38" s="914"/>
      <c r="J38" s="914">
        <f>SUM(J26:J37)</f>
        <v>9803778</v>
      </c>
    </row>
    <row r="39" spans="2:10" x14ac:dyDescent="0.25">
      <c r="C39" s="960"/>
      <c r="D39" s="960"/>
    </row>
    <row r="40" spans="2:10" x14ac:dyDescent="0.25">
      <c r="C40" s="960"/>
      <c r="D40" s="960"/>
    </row>
    <row r="41" spans="2:10" x14ac:dyDescent="0.25">
      <c r="C41" s="961"/>
      <c r="D41" s="961"/>
    </row>
    <row r="42" spans="2:10" x14ac:dyDescent="0.25">
      <c r="C42" s="952"/>
      <c r="D42" s="952"/>
    </row>
    <row r="43" spans="2:10" x14ac:dyDescent="0.25">
      <c r="C43" s="962"/>
      <c r="D43" s="962"/>
    </row>
    <row r="44" spans="2:10" x14ac:dyDescent="0.25">
      <c r="C44" s="962"/>
      <c r="D44" s="962"/>
    </row>
    <row r="45" spans="2:10" x14ac:dyDescent="0.25">
      <c r="C45" s="951"/>
      <c r="D45" s="951"/>
    </row>
    <row r="46" spans="2:10" x14ac:dyDescent="0.25">
      <c r="C46" s="951"/>
      <c r="D46" s="951"/>
    </row>
    <row r="47" spans="2:10" x14ac:dyDescent="0.25">
      <c r="C47" s="950"/>
      <c r="D47" s="950"/>
    </row>
    <row r="48" spans="2:10" x14ac:dyDescent="0.25">
      <c r="C48" s="951"/>
      <c r="D48" s="951"/>
    </row>
    <row r="49" spans="3:4" x14ac:dyDescent="0.25">
      <c r="C49" s="950"/>
      <c r="D49" s="950"/>
    </row>
    <row r="50" spans="3:4" x14ac:dyDescent="0.25">
      <c r="C50" s="951"/>
      <c r="D50" s="951"/>
    </row>
    <row r="51" spans="3:4" x14ac:dyDescent="0.25">
      <c r="C51" s="950"/>
      <c r="D51" s="950"/>
    </row>
    <row r="52" spans="3:4" x14ac:dyDescent="0.25">
      <c r="C52" s="951"/>
      <c r="D52" s="951"/>
    </row>
    <row r="53" spans="3:4" x14ac:dyDescent="0.25">
      <c r="C53" s="950"/>
      <c r="D53" s="950"/>
    </row>
    <row r="54" spans="3:4" x14ac:dyDescent="0.25">
      <c r="C54" s="952"/>
      <c r="D54" s="952"/>
    </row>
    <row r="55" spans="3:4" x14ac:dyDescent="0.25">
      <c r="C55" s="950"/>
      <c r="D55" s="950"/>
    </row>
    <row r="56" spans="3:4" x14ac:dyDescent="0.25">
      <c r="C56" s="951"/>
      <c r="D56" s="951"/>
    </row>
    <row r="57" spans="3:4" x14ac:dyDescent="0.25">
      <c r="C57" s="951"/>
      <c r="D57" s="951"/>
    </row>
    <row r="58" spans="3:4" x14ac:dyDescent="0.25">
      <c r="C58" s="951"/>
      <c r="D58" s="951"/>
    </row>
    <row r="59" spans="3:4" x14ac:dyDescent="0.25">
      <c r="C59" s="950"/>
      <c r="D59" s="950"/>
    </row>
  </sheetData>
  <mergeCells count="24">
    <mergeCell ref="C47:D47"/>
    <mergeCell ref="D6:D7"/>
    <mergeCell ref="E6:E7"/>
    <mergeCell ref="F6:J6"/>
    <mergeCell ref="C39:D39"/>
    <mergeCell ref="C40:D40"/>
    <mergeCell ref="C41:D41"/>
    <mergeCell ref="C42:D42"/>
    <mergeCell ref="C43:D43"/>
    <mergeCell ref="C44:D44"/>
    <mergeCell ref="C45:D45"/>
    <mergeCell ref="C46:D46"/>
    <mergeCell ref="C59:D59"/>
    <mergeCell ref="C48:D48"/>
    <mergeCell ref="C49:D49"/>
    <mergeCell ref="C50:D50"/>
    <mergeCell ref="C51:D51"/>
    <mergeCell ref="C52:D52"/>
    <mergeCell ref="C53:D53"/>
    <mergeCell ref="C54:D54"/>
    <mergeCell ref="C55:D55"/>
    <mergeCell ref="C56:D56"/>
    <mergeCell ref="C57:D57"/>
    <mergeCell ref="C58:D58"/>
  </mergeCells>
  <hyperlinks>
    <hyperlink ref="B2" location="Indhold!B7" display="Skema EU LI1 – Forskelle mellem de regnskabsmæssige rammer og rammerne for tilsynsmæssig konsolidering og sammenstilling af regnskabskategorierne og lovmæssigt fastsatte risikokategorier " xr:uid="{404A71B7-497E-486B-A1A3-1765A5F30784}"/>
  </hyperlinks>
  <pageMargins left="0.7" right="0.7" top="0.75" bottom="0.75" header="0.3" footer="0.3"/>
  <pageSetup paperSize="9" scale="65" orientation="landscape" horizontalDpi="1200" verticalDpi="1200" r:id="rId1"/>
  <headerFooter>
    <oddHeader>&amp;CDA
Bilag V</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18137-39EB-4EBB-9B09-8DF2059EE5FD}">
  <sheetPr>
    <pageSetUpPr fitToPage="1"/>
  </sheetPr>
  <dimension ref="B2:H19"/>
  <sheetViews>
    <sheetView showGridLines="0" zoomScaleNormal="100" zoomScalePageLayoutView="90" workbookViewId="0">
      <selection activeCell="F1" sqref="F1"/>
    </sheetView>
  </sheetViews>
  <sheetFormatPr defaultColWidth="9.140625" defaultRowHeight="15" x14ac:dyDescent="0.25"/>
  <cols>
    <col min="1" max="1" width="7.85546875" customWidth="1"/>
    <col min="2" max="2" width="8.5703125" style="39" customWidth="1"/>
    <col min="3" max="3" width="96.85546875" customWidth="1"/>
    <col min="4" max="4" width="14.7109375" customWidth="1"/>
    <col min="5" max="5" width="18.28515625" customWidth="1"/>
    <col min="6" max="6" width="22.42578125" customWidth="1"/>
    <col min="7" max="7" width="26.28515625" customWidth="1"/>
    <col min="8" max="8" width="20.140625" customWidth="1"/>
    <col min="9" max="9" width="25.42578125" customWidth="1"/>
  </cols>
  <sheetData>
    <row r="2" spans="2:8" s="51" customFormat="1" ht="18.75" x14ac:dyDescent="0.3">
      <c r="B2" s="416" t="s">
        <v>145</v>
      </c>
      <c r="E2"/>
    </row>
    <row r="5" spans="2:8" x14ac:dyDescent="0.25">
      <c r="B5" s="966" t="s">
        <v>1423</v>
      </c>
      <c r="C5" s="967"/>
      <c r="D5" s="458" t="s">
        <v>103</v>
      </c>
      <c r="E5" s="458" t="s">
        <v>102</v>
      </c>
      <c r="F5" s="458" t="s">
        <v>97</v>
      </c>
      <c r="G5" s="458" t="s">
        <v>96</v>
      </c>
      <c r="H5" s="458" t="s">
        <v>95</v>
      </c>
    </row>
    <row r="6" spans="2:8" x14ac:dyDescent="0.25">
      <c r="B6" s="966"/>
      <c r="C6" s="967"/>
      <c r="D6" s="963" t="s">
        <v>0</v>
      </c>
      <c r="E6" s="965" t="s">
        <v>146</v>
      </c>
      <c r="F6" s="965"/>
      <c r="G6" s="965"/>
      <c r="H6" s="965"/>
    </row>
    <row r="7" spans="2:8" ht="30" x14ac:dyDescent="0.25">
      <c r="B7" s="968"/>
      <c r="C7" s="969"/>
      <c r="D7" s="964"/>
      <c r="E7" s="458" t="s">
        <v>147</v>
      </c>
      <c r="F7" s="458" t="s">
        <v>148</v>
      </c>
      <c r="G7" s="458" t="s">
        <v>149</v>
      </c>
      <c r="H7" s="458" t="s">
        <v>150</v>
      </c>
    </row>
    <row r="8" spans="2:8" x14ac:dyDescent="0.25">
      <c r="B8" s="53">
        <v>1</v>
      </c>
      <c r="C8" s="54" t="s">
        <v>151</v>
      </c>
      <c r="D8" s="487">
        <f>+'3'!D23</f>
        <v>9803778</v>
      </c>
      <c r="E8" s="487">
        <f>+'3'!F23</f>
        <v>5377130.5480000004</v>
      </c>
      <c r="F8" s="488">
        <v>0</v>
      </c>
      <c r="G8" s="487">
        <f>+'3'!G23</f>
        <v>0</v>
      </c>
      <c r="H8" s="487">
        <f>+'3'!I23</f>
        <v>3443134</v>
      </c>
    </row>
    <row r="9" spans="2:8" x14ac:dyDescent="0.25">
      <c r="B9" s="53">
        <v>2</v>
      </c>
      <c r="C9" s="54" t="s">
        <v>152</v>
      </c>
      <c r="D9" s="489">
        <v>0</v>
      </c>
      <c r="E9" s="489">
        <v>0</v>
      </c>
      <c r="F9" s="490">
        <v>0</v>
      </c>
      <c r="G9" s="489">
        <v>0</v>
      </c>
      <c r="H9" s="489">
        <v>0</v>
      </c>
    </row>
    <row r="10" spans="2:8" x14ac:dyDescent="0.25">
      <c r="B10" s="53">
        <v>3</v>
      </c>
      <c r="C10" s="54" t="s">
        <v>153</v>
      </c>
      <c r="D10" s="489">
        <f>+D8-D9</f>
        <v>9803778</v>
      </c>
      <c r="E10" s="489">
        <f t="shared" ref="E10:H10" si="0">+E8-E9</f>
        <v>5377130.5480000004</v>
      </c>
      <c r="F10" s="489">
        <f t="shared" si="0"/>
        <v>0</v>
      </c>
      <c r="G10" s="489">
        <f t="shared" si="0"/>
        <v>0</v>
      </c>
      <c r="H10" s="489">
        <f t="shared" si="0"/>
        <v>3443134</v>
      </c>
    </row>
    <row r="11" spans="2:8" x14ac:dyDescent="0.25">
      <c r="B11" s="53">
        <v>4</v>
      </c>
      <c r="C11" s="48" t="s">
        <v>154</v>
      </c>
      <c r="D11" s="489">
        <v>1085466</v>
      </c>
      <c r="E11" s="489">
        <f>+D11</f>
        <v>1085466</v>
      </c>
      <c r="F11" s="490"/>
      <c r="G11" s="489"/>
      <c r="H11" s="491"/>
    </row>
    <row r="12" spans="2:8" x14ac:dyDescent="0.25">
      <c r="B12" s="41">
        <v>5</v>
      </c>
      <c r="C12" s="57" t="s">
        <v>155</v>
      </c>
      <c r="D12" s="489"/>
      <c r="E12" s="489"/>
      <c r="F12" s="490"/>
      <c r="G12" s="489"/>
      <c r="H12" s="491"/>
    </row>
    <row r="13" spans="2:8" x14ac:dyDescent="0.25">
      <c r="B13" s="41">
        <v>6</v>
      </c>
      <c r="C13" s="57" t="s">
        <v>156</v>
      </c>
      <c r="D13" s="489"/>
      <c r="E13" s="489"/>
      <c r="F13" s="490"/>
      <c r="G13" s="489"/>
      <c r="H13" s="491"/>
    </row>
    <row r="14" spans="2:8" x14ac:dyDescent="0.25">
      <c r="B14" s="41">
        <v>7</v>
      </c>
      <c r="C14" s="57" t="s">
        <v>157</v>
      </c>
      <c r="D14" s="489"/>
      <c r="E14" s="489"/>
      <c r="F14" s="490"/>
      <c r="G14" s="489"/>
      <c r="H14" s="491"/>
    </row>
    <row r="15" spans="2:8" x14ac:dyDescent="0.25">
      <c r="B15" s="41">
        <v>8</v>
      </c>
      <c r="C15" s="57" t="s">
        <v>158</v>
      </c>
      <c r="D15" s="489"/>
      <c r="E15" s="489"/>
      <c r="F15" s="490"/>
      <c r="G15" s="489"/>
      <c r="H15" s="491"/>
    </row>
    <row r="16" spans="2:8" x14ac:dyDescent="0.25">
      <c r="B16" s="41">
        <v>9</v>
      </c>
      <c r="C16" s="57" t="s">
        <v>159</v>
      </c>
      <c r="D16" s="489"/>
      <c r="E16" s="489"/>
      <c r="F16" s="490"/>
      <c r="G16" s="489"/>
      <c r="H16" s="491"/>
    </row>
    <row r="17" spans="2:8" x14ac:dyDescent="0.25">
      <c r="B17" s="41">
        <v>10</v>
      </c>
      <c r="C17" s="57" t="s">
        <v>160</v>
      </c>
      <c r="D17" s="489"/>
      <c r="E17" s="489"/>
      <c r="F17" s="490"/>
      <c r="G17" s="489"/>
      <c r="H17" s="491"/>
    </row>
    <row r="18" spans="2:8" x14ac:dyDescent="0.25">
      <c r="B18" s="41">
        <v>11</v>
      </c>
      <c r="C18" s="57" t="s">
        <v>161</v>
      </c>
      <c r="D18" s="489"/>
      <c r="E18" s="489"/>
      <c r="F18" s="490"/>
      <c r="G18" s="489"/>
      <c r="H18" s="491"/>
    </row>
    <row r="19" spans="2:8" x14ac:dyDescent="0.25">
      <c r="B19" s="53">
        <v>12</v>
      </c>
      <c r="C19" s="48" t="s">
        <v>162</v>
      </c>
      <c r="D19" s="489">
        <f>SUM(D10:D18)</f>
        <v>10889244</v>
      </c>
      <c r="E19" s="489">
        <f t="shared" ref="E19:H19" si="1">SUM(E10:E18)</f>
        <v>6462596.5480000004</v>
      </c>
      <c r="F19" s="489">
        <f t="shared" si="1"/>
        <v>0</v>
      </c>
      <c r="G19" s="489">
        <f t="shared" si="1"/>
        <v>0</v>
      </c>
      <c r="H19" s="489">
        <f t="shared" si="1"/>
        <v>3443134</v>
      </c>
    </row>
  </sheetData>
  <mergeCells count="3">
    <mergeCell ref="D6:D7"/>
    <mergeCell ref="E6:H6"/>
    <mergeCell ref="B5:C7"/>
  </mergeCells>
  <hyperlinks>
    <hyperlink ref="B2" location="Indhold!B8" display="Skema EU LI2 – Primære kilder til forskelle mellem de tilsynsmæssige eksponeringsbeløb og regnskabsmæssige værdier " xr:uid="{E6C412A9-8D0F-4D7A-B11A-51DC2F19FC81}"/>
  </hyperlinks>
  <pageMargins left="0.70866141732283472" right="0.70866141732283472" top="0.74803149606299213" bottom="0.74803149606299213" header="0.31496062992125984" footer="0.31496062992125984"/>
  <pageSetup paperSize="9" scale="70" orientation="landscape" horizontalDpi="1200" verticalDpi="1200" r:id="rId1"/>
  <headerFooter>
    <oddHeader>&amp;CDA
Bilag V</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7FB14-C5ED-402B-8A3B-CF8655E641FE}">
  <sheetPr>
    <pageSetUpPr fitToPage="1"/>
  </sheetPr>
  <dimension ref="B2:I11"/>
  <sheetViews>
    <sheetView showGridLines="0" zoomScaleNormal="100" workbookViewId="0">
      <selection activeCell="F1" sqref="F1"/>
    </sheetView>
  </sheetViews>
  <sheetFormatPr defaultColWidth="9.140625" defaultRowHeight="15" x14ac:dyDescent="0.25"/>
  <cols>
    <col min="2" max="2" width="29.140625" customWidth="1"/>
    <col min="3" max="3" width="18.140625" customWidth="1"/>
    <col min="4" max="8" width="14.7109375" customWidth="1"/>
    <col min="9" max="9" width="26.42578125" customWidth="1"/>
  </cols>
  <sheetData>
    <row r="2" spans="2:9" s="51" customFormat="1" ht="18.75" x14ac:dyDescent="0.3">
      <c r="B2" s="416" t="s">
        <v>163</v>
      </c>
      <c r="E2"/>
    </row>
    <row r="5" spans="2:9" x14ac:dyDescent="0.25">
      <c r="B5" s="464" t="s">
        <v>103</v>
      </c>
      <c r="C5" s="465" t="s">
        <v>102</v>
      </c>
      <c r="D5" s="464" t="s">
        <v>97</v>
      </c>
      <c r="E5" s="464" t="s">
        <v>96</v>
      </c>
      <c r="F5" s="464" t="s">
        <v>95</v>
      </c>
      <c r="G5" s="464" t="s">
        <v>111</v>
      </c>
      <c r="H5" s="464" t="s">
        <v>112</v>
      </c>
      <c r="I5" s="465" t="s">
        <v>164</v>
      </c>
    </row>
    <row r="6" spans="2:9" x14ac:dyDescent="0.25">
      <c r="B6" s="970" t="s">
        <v>165</v>
      </c>
      <c r="C6" s="971" t="s">
        <v>166</v>
      </c>
      <c r="D6" s="970" t="s">
        <v>167</v>
      </c>
      <c r="E6" s="970"/>
      <c r="F6" s="970"/>
      <c r="G6" s="970"/>
      <c r="H6" s="970"/>
      <c r="I6" s="466" t="s">
        <v>168</v>
      </c>
    </row>
    <row r="7" spans="2:9" ht="45" x14ac:dyDescent="0.25">
      <c r="B7" s="970"/>
      <c r="C7" s="971"/>
      <c r="D7" s="464" t="s">
        <v>169</v>
      </c>
      <c r="E7" s="464" t="s">
        <v>170</v>
      </c>
      <c r="F7" s="464" t="s">
        <v>171</v>
      </c>
      <c r="G7" s="464" t="s">
        <v>172</v>
      </c>
      <c r="H7" s="464" t="s">
        <v>173</v>
      </c>
      <c r="I7" s="467"/>
    </row>
    <row r="8" spans="2:9" ht="20.100000000000001" customHeight="1" x14ac:dyDescent="0.25">
      <c r="B8" s="461" t="s">
        <v>1237</v>
      </c>
      <c r="C8" s="461" t="s">
        <v>169</v>
      </c>
      <c r="D8" s="462" t="s">
        <v>174</v>
      </c>
      <c r="E8" s="463"/>
      <c r="F8" s="463"/>
      <c r="G8" s="463"/>
      <c r="H8" s="463"/>
      <c r="I8" s="461" t="s">
        <v>175</v>
      </c>
    </row>
    <row r="9" spans="2:9" ht="39.950000000000003" customHeight="1" x14ac:dyDescent="0.25">
      <c r="B9" s="415" t="s">
        <v>1238</v>
      </c>
      <c r="C9" s="59" t="s">
        <v>169</v>
      </c>
      <c r="D9" s="60" t="s">
        <v>174</v>
      </c>
      <c r="E9" s="60"/>
      <c r="F9" s="61"/>
      <c r="G9" s="61"/>
      <c r="H9" s="61"/>
      <c r="I9" s="59" t="s">
        <v>1241</v>
      </c>
    </row>
    <row r="10" spans="2:9" ht="39.950000000000003" customHeight="1" x14ac:dyDescent="0.25">
      <c r="B10" s="415" t="s">
        <v>1239</v>
      </c>
      <c r="C10" s="59" t="s">
        <v>169</v>
      </c>
      <c r="D10" s="60" t="s">
        <v>174</v>
      </c>
      <c r="E10" s="61"/>
      <c r="F10" s="61"/>
      <c r="G10" s="60"/>
      <c r="H10" s="60"/>
      <c r="I10" s="59" t="s">
        <v>1241</v>
      </c>
    </row>
    <row r="11" spans="2:9" ht="20.100000000000001" customHeight="1" x14ac:dyDescent="0.25">
      <c r="B11" s="59" t="s">
        <v>1240</v>
      </c>
      <c r="C11" s="59" t="s">
        <v>169</v>
      </c>
      <c r="D11" s="60" t="s">
        <v>174</v>
      </c>
      <c r="E11" s="61"/>
      <c r="F11" s="60"/>
      <c r="G11" s="61"/>
      <c r="H11" s="61"/>
      <c r="I11" s="59" t="s">
        <v>1242</v>
      </c>
    </row>
  </sheetData>
  <mergeCells count="3">
    <mergeCell ref="B6:B7"/>
    <mergeCell ref="C6:C7"/>
    <mergeCell ref="D6:H6"/>
  </mergeCells>
  <hyperlinks>
    <hyperlink ref="B2" location="Indhold!B9" display="Skema EU LI3 – Skitsering af forskellene i konsolideringens omfang (enhed for enhed) " xr:uid="{B62A4276-0191-4619-B686-F9120CE9071A}"/>
  </hyperlinks>
  <pageMargins left="0.70866141732283472" right="0.70866141732283472" top="0.74803149606299213" bottom="0.74803149606299213" header="0.31496062992125984" footer="0.31496062992125984"/>
  <pageSetup paperSize="9" scale="88" orientation="landscape" r:id="rId1"/>
  <headerFooter>
    <oddHeader>&amp;CDA
Bilag V</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3B55B-DAF7-4473-B6D3-153968EE1B65}">
  <dimension ref="A2:I133"/>
  <sheetViews>
    <sheetView showGridLines="0" zoomScaleNormal="100" zoomScalePageLayoutView="130" workbookViewId="0">
      <selection activeCell="F1" sqref="F1"/>
    </sheetView>
  </sheetViews>
  <sheetFormatPr defaultColWidth="9" defaultRowHeight="15" x14ac:dyDescent="0.25"/>
  <cols>
    <col min="1" max="1" width="6.28515625" customWidth="1"/>
    <col min="3" max="3" width="57.7109375" customWidth="1"/>
    <col min="4" max="4" width="20.42578125" style="87" customWidth="1"/>
    <col min="5" max="5" width="57" customWidth="1"/>
  </cols>
  <sheetData>
    <row r="2" spans="2:9" ht="18.75" x14ac:dyDescent="0.3">
      <c r="B2" s="416" t="s">
        <v>195</v>
      </c>
    </row>
    <row r="3" spans="2:9" ht="15" customHeight="1" x14ac:dyDescent="0.3">
      <c r="B3" s="86"/>
    </row>
    <row r="4" spans="2:9" ht="15" customHeight="1" x14ac:dyDescent="0.3">
      <c r="B4" s="86"/>
    </row>
    <row r="5" spans="2:9" x14ac:dyDescent="0.25">
      <c r="B5" s="800"/>
      <c r="C5" s="801"/>
      <c r="D5" s="468" t="s">
        <v>196</v>
      </c>
      <c r="E5" s="469" t="s">
        <v>197</v>
      </c>
    </row>
    <row r="6" spans="2:9" ht="30" x14ac:dyDescent="0.25">
      <c r="B6" s="800"/>
      <c r="C6" s="801"/>
      <c r="D6" s="468" t="s">
        <v>1423</v>
      </c>
      <c r="E6" s="469" t="s">
        <v>1445</v>
      </c>
    </row>
    <row r="7" spans="2:9" x14ac:dyDescent="0.25">
      <c r="B7" s="990" t="s">
        <v>198</v>
      </c>
      <c r="C7" s="991"/>
      <c r="D7" s="991"/>
      <c r="E7" s="992"/>
    </row>
    <row r="8" spans="2:9" ht="30" x14ac:dyDescent="0.25">
      <c r="B8" s="132">
        <v>1</v>
      </c>
      <c r="C8" s="144" t="s">
        <v>199</v>
      </c>
      <c r="D8" s="492">
        <v>75810</v>
      </c>
      <c r="E8" s="13" t="s">
        <v>1427</v>
      </c>
    </row>
    <row r="9" spans="2:9" x14ac:dyDescent="0.25">
      <c r="B9" s="132"/>
      <c r="C9" s="144" t="s">
        <v>200</v>
      </c>
      <c r="D9" s="492"/>
      <c r="E9" s="9"/>
    </row>
    <row r="10" spans="2:9" x14ac:dyDescent="0.25">
      <c r="B10" s="132"/>
      <c r="C10" s="144" t="s">
        <v>201</v>
      </c>
      <c r="D10" s="492"/>
      <c r="E10" s="9"/>
    </row>
    <row r="11" spans="2:9" x14ac:dyDescent="0.25">
      <c r="B11" s="132"/>
      <c r="C11" s="144" t="s">
        <v>202</v>
      </c>
      <c r="D11" s="492"/>
      <c r="E11" s="9"/>
    </row>
    <row r="12" spans="2:9" x14ac:dyDescent="0.25">
      <c r="B12" s="132">
        <v>2</v>
      </c>
      <c r="C12" s="144" t="s">
        <v>203</v>
      </c>
      <c r="D12" s="492">
        <f>1310596-83057</f>
        <v>1227539</v>
      </c>
      <c r="E12" s="13" t="s">
        <v>1428</v>
      </c>
    </row>
    <row r="13" spans="2:9" x14ac:dyDescent="0.25">
      <c r="B13" s="132">
        <v>3</v>
      </c>
      <c r="C13" s="144" t="s">
        <v>204</v>
      </c>
      <c r="D13" s="492">
        <f>3718-610</f>
        <v>3108</v>
      </c>
      <c r="E13" s="13" t="s">
        <v>1431</v>
      </c>
      <c r="I13" s="88"/>
    </row>
    <row r="14" spans="2:9" x14ac:dyDescent="0.25">
      <c r="B14" s="132" t="s">
        <v>205</v>
      </c>
      <c r="C14" s="144" t="s">
        <v>206</v>
      </c>
      <c r="D14" s="492">
        <v>0</v>
      </c>
      <c r="E14" s="9"/>
    </row>
    <row r="15" spans="2:9" ht="45" x14ac:dyDescent="0.25">
      <c r="B15" s="132">
        <v>4</v>
      </c>
      <c r="C15" s="144" t="s">
        <v>207</v>
      </c>
      <c r="D15" s="492">
        <v>0</v>
      </c>
      <c r="E15" s="9"/>
    </row>
    <row r="16" spans="2:9" ht="30" x14ac:dyDescent="0.25">
      <c r="B16" s="132">
        <v>5</v>
      </c>
      <c r="C16" s="144" t="s">
        <v>208</v>
      </c>
      <c r="D16" s="492">
        <v>0</v>
      </c>
      <c r="E16" s="9"/>
    </row>
    <row r="17" spans="2:6" ht="30" x14ac:dyDescent="0.25">
      <c r="B17" s="132" t="s">
        <v>209</v>
      </c>
      <c r="C17" s="144" t="s">
        <v>210</v>
      </c>
      <c r="D17" s="162">
        <f>123966-40909</f>
        <v>83057</v>
      </c>
      <c r="E17" s="13" t="s">
        <v>1435</v>
      </c>
    </row>
    <row r="18" spans="2:6" x14ac:dyDescent="0.25">
      <c r="B18" s="341">
        <v>6</v>
      </c>
      <c r="C18" s="471" t="s">
        <v>211</v>
      </c>
      <c r="D18" s="493">
        <f>+D8+D12+D17+D13</f>
        <v>1389514</v>
      </c>
      <c r="E18" s="5"/>
      <c r="F18" s="353"/>
    </row>
    <row r="19" spans="2:6" x14ac:dyDescent="0.25">
      <c r="B19" s="972" t="s">
        <v>212</v>
      </c>
      <c r="C19" s="973"/>
      <c r="D19" s="973"/>
      <c r="E19" s="974"/>
    </row>
    <row r="20" spans="2:6" x14ac:dyDescent="0.25">
      <c r="B20" s="132">
        <v>7</v>
      </c>
      <c r="C20" s="24" t="s">
        <v>213</v>
      </c>
      <c r="D20" s="492">
        <f>-3838625/1000</f>
        <v>-3838.625</v>
      </c>
      <c r="E20" s="9"/>
    </row>
    <row r="21" spans="2:6" ht="30" x14ac:dyDescent="0.25">
      <c r="B21" s="132">
        <v>8</v>
      </c>
      <c r="C21" s="24" t="s">
        <v>214</v>
      </c>
      <c r="D21" s="492">
        <v>0</v>
      </c>
      <c r="E21" s="13"/>
    </row>
    <row r="22" spans="2:6" x14ac:dyDescent="0.25">
      <c r="B22" s="132">
        <v>9</v>
      </c>
      <c r="C22" s="24" t="s">
        <v>1</v>
      </c>
      <c r="D22" s="492">
        <v>0</v>
      </c>
      <c r="E22" s="9"/>
    </row>
    <row r="23" spans="2:6" ht="75" x14ac:dyDescent="0.25">
      <c r="B23" s="132">
        <v>10</v>
      </c>
      <c r="C23" s="24" t="s">
        <v>215</v>
      </c>
      <c r="D23" s="492">
        <v>0</v>
      </c>
      <c r="E23" s="9"/>
    </row>
    <row r="24" spans="2:6" ht="45" x14ac:dyDescent="0.25">
      <c r="B24" s="132">
        <v>11</v>
      </c>
      <c r="C24" s="24" t="s">
        <v>216</v>
      </c>
      <c r="D24" s="492">
        <v>0</v>
      </c>
      <c r="E24" s="9"/>
    </row>
    <row r="25" spans="2:6" ht="30" x14ac:dyDescent="0.25">
      <c r="B25" s="132">
        <v>12</v>
      </c>
      <c r="C25" s="24" t="s">
        <v>217</v>
      </c>
      <c r="D25" s="492">
        <v>0</v>
      </c>
      <c r="E25" s="9"/>
    </row>
    <row r="26" spans="2:6" ht="30" x14ac:dyDescent="0.25">
      <c r="B26" s="132">
        <v>13</v>
      </c>
      <c r="C26" s="24" t="s">
        <v>218</v>
      </c>
      <c r="D26" s="492">
        <v>0</v>
      </c>
      <c r="E26" s="9"/>
    </row>
    <row r="27" spans="2:6" ht="30" x14ac:dyDescent="0.25">
      <c r="B27" s="132">
        <v>14</v>
      </c>
      <c r="C27" s="24" t="s">
        <v>219</v>
      </c>
      <c r="D27" s="492">
        <v>0</v>
      </c>
      <c r="E27" s="9"/>
    </row>
    <row r="28" spans="2:6" x14ac:dyDescent="0.25">
      <c r="B28" s="132">
        <v>15</v>
      </c>
      <c r="C28" s="24" t="s">
        <v>220</v>
      </c>
      <c r="D28" s="492">
        <v>0</v>
      </c>
      <c r="E28" s="9"/>
    </row>
    <row r="29" spans="2:6" ht="30" x14ac:dyDescent="0.25">
      <c r="B29" s="132">
        <v>16</v>
      </c>
      <c r="C29" s="24" t="s">
        <v>221</v>
      </c>
      <c r="D29" s="492">
        <f>(-5496225)/1000</f>
        <v>-5496.2250000000004</v>
      </c>
      <c r="E29" s="9"/>
    </row>
    <row r="30" spans="2:6" ht="75" x14ac:dyDescent="0.25">
      <c r="B30" s="132">
        <v>17</v>
      </c>
      <c r="C30" s="24" t="s">
        <v>222</v>
      </c>
      <c r="D30" s="492">
        <v>0</v>
      </c>
      <c r="E30" s="9"/>
    </row>
    <row r="31" spans="2:6" ht="75" x14ac:dyDescent="0.25">
      <c r="B31" s="132">
        <v>18</v>
      </c>
      <c r="C31" s="24" t="s">
        <v>223</v>
      </c>
      <c r="D31" s="492">
        <f>-136819452/1000</f>
        <v>-136819.45199999999</v>
      </c>
      <c r="E31" s="9"/>
    </row>
    <row r="32" spans="2:6" ht="75" x14ac:dyDescent="0.25">
      <c r="B32" s="132">
        <v>19</v>
      </c>
      <c r="C32" s="24" t="s">
        <v>224</v>
      </c>
      <c r="D32" s="492">
        <v>0</v>
      </c>
      <c r="E32" s="9"/>
    </row>
    <row r="33" spans="2:6" x14ac:dyDescent="0.25">
      <c r="B33" s="132">
        <v>20</v>
      </c>
      <c r="C33" s="24" t="s">
        <v>1</v>
      </c>
      <c r="D33" s="492"/>
      <c r="E33" s="9"/>
    </row>
    <row r="34" spans="2:6" ht="45" x14ac:dyDescent="0.25">
      <c r="B34" s="132" t="s">
        <v>225</v>
      </c>
      <c r="C34" s="24" t="s">
        <v>226</v>
      </c>
      <c r="D34" s="492">
        <v>0</v>
      </c>
      <c r="E34" s="9"/>
    </row>
    <row r="35" spans="2:6" ht="30" x14ac:dyDescent="0.25">
      <c r="B35" s="132" t="s">
        <v>227</v>
      </c>
      <c r="C35" s="24" t="s">
        <v>228</v>
      </c>
      <c r="D35" s="492">
        <v>0</v>
      </c>
      <c r="E35" s="9"/>
    </row>
    <row r="36" spans="2:6" x14ac:dyDescent="0.25">
      <c r="B36" s="132" t="s">
        <v>229</v>
      </c>
      <c r="C36" s="9" t="s">
        <v>230</v>
      </c>
      <c r="D36" s="492">
        <v>0</v>
      </c>
      <c r="E36" s="9"/>
    </row>
    <row r="37" spans="2:6" x14ac:dyDescent="0.25">
      <c r="B37" s="132" t="s">
        <v>231</v>
      </c>
      <c r="C37" s="24" t="s">
        <v>232</v>
      </c>
      <c r="D37" s="492">
        <v>0</v>
      </c>
      <c r="E37" s="9"/>
    </row>
    <row r="38" spans="2:6" ht="60" x14ac:dyDescent="0.25">
      <c r="B38" s="132">
        <v>21</v>
      </c>
      <c r="C38" s="24" t="s">
        <v>1446</v>
      </c>
      <c r="D38" s="492">
        <v>0</v>
      </c>
      <c r="E38" s="9"/>
    </row>
    <row r="39" spans="2:6" x14ac:dyDescent="0.25">
      <c r="B39" s="132">
        <v>22</v>
      </c>
      <c r="C39" s="24" t="s">
        <v>233</v>
      </c>
      <c r="D39" s="492">
        <v>0</v>
      </c>
      <c r="E39" s="9"/>
    </row>
    <row r="40" spans="2:6" ht="60" x14ac:dyDescent="0.25">
      <c r="B40" s="132">
        <v>23</v>
      </c>
      <c r="C40" s="24" t="s">
        <v>234</v>
      </c>
      <c r="D40" s="492">
        <v>0</v>
      </c>
      <c r="E40" s="9"/>
    </row>
    <row r="41" spans="2:6" x14ac:dyDescent="0.25">
      <c r="B41" s="132">
        <v>24</v>
      </c>
      <c r="C41" s="24" t="s">
        <v>1</v>
      </c>
      <c r="D41" s="492"/>
      <c r="E41" s="9"/>
    </row>
    <row r="42" spans="2:6" ht="30" x14ac:dyDescent="0.25">
      <c r="B42" s="132">
        <v>25</v>
      </c>
      <c r="C42" s="24" t="s">
        <v>235</v>
      </c>
      <c r="D42" s="492">
        <v>0</v>
      </c>
      <c r="E42" s="9"/>
    </row>
    <row r="43" spans="2:6" x14ac:dyDescent="0.25">
      <c r="B43" s="132" t="s">
        <v>236</v>
      </c>
      <c r="C43" s="24" t="s">
        <v>237</v>
      </c>
      <c r="D43" s="492">
        <v>0</v>
      </c>
      <c r="E43" s="9"/>
    </row>
    <row r="44" spans="2:6" ht="75" x14ac:dyDescent="0.25">
      <c r="B44" s="132" t="s">
        <v>238</v>
      </c>
      <c r="C44" s="24" t="s">
        <v>239</v>
      </c>
      <c r="D44" s="492">
        <v>0</v>
      </c>
      <c r="E44" s="9"/>
    </row>
    <row r="45" spans="2:6" x14ac:dyDescent="0.25">
      <c r="B45" s="132">
        <v>26</v>
      </c>
      <c r="C45" s="24" t="s">
        <v>1</v>
      </c>
      <c r="D45" s="492"/>
      <c r="E45" s="9"/>
    </row>
    <row r="46" spans="2:6" ht="30" x14ac:dyDescent="0.25">
      <c r="B46" s="132">
        <v>27</v>
      </c>
      <c r="C46" s="24" t="s">
        <v>1447</v>
      </c>
      <c r="D46" s="492">
        <v>0</v>
      </c>
      <c r="E46" s="9"/>
      <c r="F46" s="89"/>
    </row>
    <row r="47" spans="2:6" x14ac:dyDescent="0.25">
      <c r="B47" s="132" t="s">
        <v>240</v>
      </c>
      <c r="C47" s="24" t="s">
        <v>1448</v>
      </c>
      <c r="D47" s="492">
        <f>-5375037/1000</f>
        <v>-5375.0370000000003</v>
      </c>
      <c r="E47" s="9"/>
      <c r="F47" s="89"/>
    </row>
    <row r="48" spans="2:6" x14ac:dyDescent="0.25">
      <c r="B48" s="132">
        <v>28</v>
      </c>
      <c r="C48" s="473" t="s">
        <v>241</v>
      </c>
      <c r="D48" s="492">
        <f>SUM(D20:D34)+D38+D39+D43+D47</f>
        <v>-151529.33900000001</v>
      </c>
      <c r="E48" s="9"/>
    </row>
    <row r="49" spans="2:5" x14ac:dyDescent="0.25">
      <c r="B49" s="132">
        <v>29</v>
      </c>
      <c r="C49" s="473" t="s">
        <v>242</v>
      </c>
      <c r="D49" s="493">
        <f>+D18+D48</f>
        <v>1237984.6610000001</v>
      </c>
      <c r="E49" s="916"/>
    </row>
    <row r="50" spans="2:5" x14ac:dyDescent="0.25">
      <c r="B50" s="972" t="s">
        <v>243</v>
      </c>
      <c r="C50" s="973"/>
      <c r="D50" s="973"/>
      <c r="E50" s="974"/>
    </row>
    <row r="51" spans="2:5" ht="30" x14ac:dyDescent="0.25">
      <c r="B51" s="132">
        <v>30</v>
      </c>
      <c r="C51" s="24" t="s">
        <v>244</v>
      </c>
      <c r="D51" s="492">
        <v>0</v>
      </c>
      <c r="E51" s="13"/>
    </row>
    <row r="52" spans="2:5" ht="30" x14ac:dyDescent="0.25">
      <c r="B52" s="132">
        <v>31</v>
      </c>
      <c r="C52" s="24" t="s">
        <v>245</v>
      </c>
      <c r="D52" s="492">
        <v>0</v>
      </c>
      <c r="E52" s="9"/>
    </row>
    <row r="53" spans="2:5" ht="30" x14ac:dyDescent="0.25">
      <c r="B53" s="132">
        <v>32</v>
      </c>
      <c r="C53" s="24" t="s">
        <v>246</v>
      </c>
      <c r="D53" s="492">
        <v>0</v>
      </c>
      <c r="E53" s="9"/>
    </row>
    <row r="54" spans="2:5" ht="45" x14ac:dyDescent="0.25">
      <c r="B54" s="132">
        <v>33</v>
      </c>
      <c r="C54" s="24" t="s">
        <v>247</v>
      </c>
      <c r="D54" s="492">
        <v>0</v>
      </c>
      <c r="E54" s="9"/>
    </row>
    <row r="55" spans="2:5" s="25" customFormat="1" ht="30" x14ac:dyDescent="0.25">
      <c r="B55" s="132" t="s">
        <v>248</v>
      </c>
      <c r="C55" s="24" t="s">
        <v>249</v>
      </c>
      <c r="D55" s="492">
        <v>0</v>
      </c>
      <c r="E55" s="9"/>
    </row>
    <row r="56" spans="2:5" s="25" customFormat="1" ht="30" x14ac:dyDescent="0.25">
      <c r="B56" s="132" t="s">
        <v>250</v>
      </c>
      <c r="C56" s="24" t="s">
        <v>251</v>
      </c>
      <c r="D56" s="492">
        <v>0</v>
      </c>
      <c r="E56" s="9"/>
    </row>
    <row r="57" spans="2:5" ht="60" x14ac:dyDescent="0.25">
      <c r="B57" s="132">
        <v>34</v>
      </c>
      <c r="C57" s="24" t="s">
        <v>252</v>
      </c>
      <c r="D57" s="492">
        <v>0</v>
      </c>
      <c r="E57" s="9"/>
    </row>
    <row r="58" spans="2:5" ht="30" x14ac:dyDescent="0.25">
      <c r="B58" s="132">
        <v>35</v>
      </c>
      <c r="C58" s="24" t="s">
        <v>253</v>
      </c>
      <c r="D58" s="492">
        <v>0</v>
      </c>
      <c r="E58" s="9"/>
    </row>
    <row r="59" spans="2:5" x14ac:dyDescent="0.25">
      <c r="B59" s="341">
        <v>36</v>
      </c>
      <c r="C59" s="473" t="s">
        <v>254</v>
      </c>
      <c r="D59" s="493">
        <v>0</v>
      </c>
      <c r="E59" s="9"/>
    </row>
    <row r="60" spans="2:5" x14ac:dyDescent="0.25">
      <c r="B60" s="972" t="s">
        <v>255</v>
      </c>
      <c r="C60" s="973"/>
      <c r="D60" s="973"/>
      <c r="E60" s="974"/>
    </row>
    <row r="61" spans="2:5" ht="30" x14ac:dyDescent="0.25">
      <c r="B61" s="132">
        <v>37</v>
      </c>
      <c r="C61" s="24" t="s">
        <v>256</v>
      </c>
      <c r="D61" s="470">
        <v>0</v>
      </c>
      <c r="E61" s="9"/>
    </row>
    <row r="62" spans="2:5" ht="75" x14ac:dyDescent="0.25">
      <c r="B62" s="132">
        <v>38</v>
      </c>
      <c r="C62" s="24" t="s">
        <v>257</v>
      </c>
      <c r="D62" s="470">
        <v>0</v>
      </c>
      <c r="E62" s="9"/>
    </row>
    <row r="63" spans="2:5" ht="75" x14ac:dyDescent="0.25">
      <c r="B63" s="132">
        <v>39</v>
      </c>
      <c r="C63" s="24" t="s">
        <v>258</v>
      </c>
      <c r="D63" s="470">
        <v>0</v>
      </c>
      <c r="E63" s="9"/>
    </row>
    <row r="64" spans="2:5" ht="75" x14ac:dyDescent="0.25">
      <c r="B64" s="132">
        <v>40</v>
      </c>
      <c r="C64" s="24" t="s">
        <v>259</v>
      </c>
      <c r="D64" s="470">
        <v>0</v>
      </c>
      <c r="E64" s="9"/>
    </row>
    <row r="65" spans="1:5" x14ac:dyDescent="0.25">
      <c r="B65" s="132">
        <v>41</v>
      </c>
      <c r="C65" s="24" t="s">
        <v>1</v>
      </c>
      <c r="D65" s="470">
        <v>0</v>
      </c>
      <c r="E65" s="9"/>
    </row>
    <row r="66" spans="1:5" ht="30" x14ac:dyDescent="0.25">
      <c r="B66" s="132">
        <v>42</v>
      </c>
      <c r="C66" s="24" t="s">
        <v>1449</v>
      </c>
      <c r="D66" s="470">
        <v>0</v>
      </c>
      <c r="E66" s="9"/>
    </row>
    <row r="67" spans="1:5" x14ac:dyDescent="0.25">
      <c r="B67" s="132" t="s">
        <v>260</v>
      </c>
      <c r="C67" s="24" t="s">
        <v>261</v>
      </c>
      <c r="D67" s="470">
        <v>0</v>
      </c>
      <c r="E67" s="9"/>
    </row>
    <row r="68" spans="1:5" x14ac:dyDescent="0.25">
      <c r="B68" s="341">
        <v>43</v>
      </c>
      <c r="C68" s="473" t="s">
        <v>262</v>
      </c>
      <c r="D68" s="472">
        <v>0</v>
      </c>
      <c r="E68" s="9"/>
    </row>
    <row r="69" spans="1:5" x14ac:dyDescent="0.25">
      <c r="B69" s="341">
        <v>44</v>
      </c>
      <c r="C69" s="473" t="s">
        <v>263</v>
      </c>
      <c r="D69" s="472">
        <v>0</v>
      </c>
      <c r="E69" s="9"/>
    </row>
    <row r="70" spans="1:5" ht="30" x14ac:dyDescent="0.25">
      <c r="B70" s="341">
        <v>45</v>
      </c>
      <c r="C70" s="473" t="s">
        <v>264</v>
      </c>
      <c r="D70" s="472">
        <f>+D49</f>
        <v>1237984.6610000001</v>
      </c>
      <c r="E70" s="9"/>
    </row>
    <row r="71" spans="1:5" x14ac:dyDescent="0.25">
      <c r="B71" s="972" t="s">
        <v>265</v>
      </c>
      <c r="C71" s="973"/>
      <c r="D71" s="973"/>
      <c r="E71" s="974"/>
    </row>
    <row r="72" spans="1:5" ht="30" x14ac:dyDescent="0.25">
      <c r="B72" s="132">
        <v>46</v>
      </c>
      <c r="C72" s="24" t="s">
        <v>244</v>
      </c>
      <c r="D72" s="492">
        <v>0</v>
      </c>
      <c r="E72" s="9"/>
    </row>
    <row r="73" spans="1:5" ht="45" x14ac:dyDescent="0.25">
      <c r="B73" s="132">
        <v>47</v>
      </c>
      <c r="C73" s="24" t="s">
        <v>266</v>
      </c>
      <c r="D73" s="492">
        <v>0</v>
      </c>
      <c r="E73" s="9"/>
    </row>
    <row r="74" spans="1:5" s="25" customFormat="1" ht="30" x14ac:dyDescent="0.25">
      <c r="A74" s="1"/>
      <c r="B74" s="132" t="s">
        <v>267</v>
      </c>
      <c r="C74" s="24" t="s">
        <v>268</v>
      </c>
      <c r="D74" s="492">
        <v>0</v>
      </c>
      <c r="E74" s="9"/>
    </row>
    <row r="75" spans="1:5" s="25" customFormat="1" ht="30" x14ac:dyDescent="0.25">
      <c r="A75" s="1"/>
      <c r="B75" s="132" t="s">
        <v>269</v>
      </c>
      <c r="C75" s="24" t="s">
        <v>270</v>
      </c>
      <c r="D75" s="492">
        <v>0</v>
      </c>
      <c r="E75" s="9"/>
    </row>
    <row r="76" spans="1:5" ht="75" x14ac:dyDescent="0.25">
      <c r="B76" s="132">
        <v>48</v>
      </c>
      <c r="C76" s="24" t="s">
        <v>271</v>
      </c>
      <c r="D76" s="492">
        <v>0</v>
      </c>
      <c r="E76" s="9"/>
    </row>
    <row r="77" spans="1:5" ht="30" x14ac:dyDescent="0.25">
      <c r="B77" s="132">
        <v>49</v>
      </c>
      <c r="C77" s="24" t="s">
        <v>272</v>
      </c>
      <c r="D77" s="492">
        <v>0</v>
      </c>
      <c r="E77" s="9"/>
    </row>
    <row r="78" spans="1:5" x14ac:dyDescent="0.25">
      <c r="B78" s="132">
        <v>50</v>
      </c>
      <c r="C78" s="24" t="s">
        <v>273</v>
      </c>
      <c r="D78" s="492">
        <v>0</v>
      </c>
      <c r="E78" s="9"/>
    </row>
    <row r="79" spans="1:5" x14ac:dyDescent="0.25">
      <c r="B79" s="341">
        <v>51</v>
      </c>
      <c r="C79" s="473" t="s">
        <v>274</v>
      </c>
      <c r="D79" s="493">
        <v>0</v>
      </c>
      <c r="E79" s="5"/>
    </row>
    <row r="80" spans="1:5" x14ac:dyDescent="0.25">
      <c r="B80" s="972" t="s">
        <v>275</v>
      </c>
      <c r="C80" s="973"/>
      <c r="D80" s="973"/>
      <c r="E80" s="974"/>
    </row>
    <row r="81" spans="2:5" ht="45" x14ac:dyDescent="0.25">
      <c r="B81" s="132">
        <v>52</v>
      </c>
      <c r="C81" s="24" t="s">
        <v>276</v>
      </c>
      <c r="D81" s="492">
        <v>0</v>
      </c>
      <c r="E81" s="9"/>
    </row>
    <row r="82" spans="2:5" ht="75" x14ac:dyDescent="0.25">
      <c r="B82" s="132">
        <v>53</v>
      </c>
      <c r="C82" s="24" t="s">
        <v>277</v>
      </c>
      <c r="D82" s="492">
        <v>0</v>
      </c>
      <c r="E82" s="9"/>
    </row>
    <row r="83" spans="2:5" ht="75" x14ac:dyDescent="0.25">
      <c r="B83" s="132">
        <v>54</v>
      </c>
      <c r="C83" s="24" t="s">
        <v>278</v>
      </c>
      <c r="D83" s="492">
        <v>0</v>
      </c>
      <c r="E83" s="9"/>
    </row>
    <row r="84" spans="2:5" x14ac:dyDescent="0.25">
      <c r="B84" s="132" t="s">
        <v>279</v>
      </c>
      <c r="C84" s="24" t="s">
        <v>1</v>
      </c>
      <c r="D84" s="492">
        <v>0</v>
      </c>
      <c r="E84" s="9"/>
    </row>
    <row r="85" spans="2:5" ht="75" x14ac:dyDescent="0.25">
      <c r="B85" s="132">
        <v>55</v>
      </c>
      <c r="C85" s="24" t="s">
        <v>280</v>
      </c>
      <c r="D85" s="492">
        <v>0</v>
      </c>
      <c r="E85" s="9"/>
    </row>
    <row r="86" spans="2:5" x14ac:dyDescent="0.25">
      <c r="B86" s="132">
        <v>56</v>
      </c>
      <c r="C86" s="24" t="s">
        <v>1</v>
      </c>
      <c r="D86" s="492">
        <v>0</v>
      </c>
      <c r="E86" s="9"/>
    </row>
    <row r="87" spans="2:5" ht="45" x14ac:dyDescent="0.25">
      <c r="B87" s="132" t="s">
        <v>1450</v>
      </c>
      <c r="C87" s="9" t="s">
        <v>281</v>
      </c>
      <c r="D87" s="493">
        <v>0</v>
      </c>
      <c r="E87" s="9"/>
    </row>
    <row r="88" spans="2:5" x14ac:dyDescent="0.25">
      <c r="B88" s="132" t="s">
        <v>282</v>
      </c>
      <c r="C88" s="9" t="s">
        <v>283</v>
      </c>
      <c r="D88" s="493">
        <v>0</v>
      </c>
      <c r="E88" s="9"/>
    </row>
    <row r="89" spans="2:5" x14ac:dyDescent="0.25">
      <c r="B89" s="341">
        <v>57</v>
      </c>
      <c r="C89" s="5" t="s">
        <v>284</v>
      </c>
      <c r="D89" s="493">
        <v>0</v>
      </c>
      <c r="E89" s="9"/>
    </row>
    <row r="90" spans="2:5" x14ac:dyDescent="0.25">
      <c r="B90" s="341">
        <v>58</v>
      </c>
      <c r="C90" s="5" t="s">
        <v>285</v>
      </c>
      <c r="D90" s="493">
        <v>0</v>
      </c>
      <c r="E90" s="9"/>
    </row>
    <row r="91" spans="2:5" ht="30" x14ac:dyDescent="0.25">
      <c r="B91" s="341">
        <v>59</v>
      </c>
      <c r="C91" s="5" t="s">
        <v>286</v>
      </c>
      <c r="D91" s="493">
        <f>+D70</f>
        <v>1237984.6610000001</v>
      </c>
      <c r="E91" s="9"/>
    </row>
    <row r="92" spans="2:5" x14ac:dyDescent="0.25">
      <c r="B92" s="341">
        <v>60</v>
      </c>
      <c r="C92" s="5" t="s">
        <v>89</v>
      </c>
      <c r="D92" s="493">
        <f>5136453489/1000</f>
        <v>5136453.4890000001</v>
      </c>
      <c r="E92" s="5"/>
    </row>
    <row r="93" spans="2:5" x14ac:dyDescent="0.25">
      <c r="B93" s="972" t="s">
        <v>287</v>
      </c>
      <c r="C93" s="973"/>
      <c r="D93" s="973"/>
      <c r="E93" s="974"/>
    </row>
    <row r="94" spans="2:5" x14ac:dyDescent="0.25">
      <c r="B94" s="132">
        <v>61</v>
      </c>
      <c r="C94" s="24" t="s">
        <v>288</v>
      </c>
      <c r="D94" s="494">
        <f>+D91/D92</f>
        <v>0.2410193460626506</v>
      </c>
      <c r="E94" s="9"/>
    </row>
    <row r="95" spans="2:5" x14ac:dyDescent="0.25">
      <c r="B95" s="132">
        <v>62</v>
      </c>
      <c r="C95" s="24" t="s">
        <v>289</v>
      </c>
      <c r="D95" s="494">
        <f>+D94</f>
        <v>0.2410193460626506</v>
      </c>
      <c r="E95" s="9"/>
    </row>
    <row r="96" spans="2:5" x14ac:dyDescent="0.25">
      <c r="B96" s="132">
        <v>63</v>
      </c>
      <c r="C96" s="24" t="s">
        <v>290</v>
      </c>
      <c r="D96" s="494">
        <f>+D95</f>
        <v>0.2410193460626506</v>
      </c>
      <c r="E96" s="9"/>
    </row>
    <row r="97" spans="2:5" ht="14.65" customHeight="1" x14ac:dyDescent="0.25">
      <c r="B97" s="132">
        <v>64</v>
      </c>
      <c r="C97" s="24" t="s">
        <v>291</v>
      </c>
      <c r="D97" s="494">
        <v>0.11020000000000001</v>
      </c>
      <c r="E97" s="9"/>
    </row>
    <row r="98" spans="2:5" ht="17.649999999999999" customHeight="1" x14ac:dyDescent="0.25">
      <c r="B98" s="132">
        <v>65</v>
      </c>
      <c r="C98" s="9" t="s">
        <v>292</v>
      </c>
      <c r="D98" s="494">
        <f>128411337/D92/1000</f>
        <v>2.4999999956195455E-2</v>
      </c>
      <c r="E98" s="9"/>
    </row>
    <row r="99" spans="2:5" x14ac:dyDescent="0.25">
      <c r="B99" s="132">
        <v>66</v>
      </c>
      <c r="C99" s="9" t="s">
        <v>293</v>
      </c>
      <c r="D99" s="494">
        <f>128411337/D92/1000</f>
        <v>2.4999999956195455E-2</v>
      </c>
      <c r="E99" s="9"/>
    </row>
    <row r="100" spans="2:5" x14ac:dyDescent="0.25">
      <c r="B100" s="132">
        <v>67</v>
      </c>
      <c r="C100" s="9" t="s">
        <v>294</v>
      </c>
      <c r="D100" s="494">
        <f>25994877/D92/1000</f>
        <v>5.0608609725892525E-3</v>
      </c>
      <c r="E100" s="9"/>
    </row>
    <row r="101" spans="2:5" x14ac:dyDescent="0.25">
      <c r="B101" s="132" t="s">
        <v>295</v>
      </c>
      <c r="C101" s="24" t="s">
        <v>296</v>
      </c>
      <c r="D101" s="492">
        <v>0</v>
      </c>
      <c r="E101" s="9"/>
    </row>
    <row r="102" spans="2:5" ht="30" x14ac:dyDescent="0.25">
      <c r="B102" s="132" t="s">
        <v>297</v>
      </c>
      <c r="C102" s="24" t="s">
        <v>298</v>
      </c>
      <c r="D102" s="494">
        <f>5.51%-4.5%</f>
        <v>1.0099999999999998E-2</v>
      </c>
      <c r="E102" s="9"/>
    </row>
    <row r="103" spans="2:5" ht="45" x14ac:dyDescent="0.25">
      <c r="B103" s="132">
        <v>68</v>
      </c>
      <c r="C103" s="473" t="s">
        <v>299</v>
      </c>
      <c r="D103" s="494">
        <f>+D96-('2'!D21/100)</f>
        <v>0.1430193460626506</v>
      </c>
      <c r="E103" s="9"/>
    </row>
    <row r="104" spans="2:5" x14ac:dyDescent="0.25">
      <c r="B104" s="972" t="s">
        <v>300</v>
      </c>
      <c r="C104" s="973"/>
      <c r="D104" s="973"/>
      <c r="E104" s="974"/>
    </row>
    <row r="105" spans="2:5" x14ac:dyDescent="0.25">
      <c r="B105" s="132">
        <v>69</v>
      </c>
      <c r="C105" s="11" t="s">
        <v>1451</v>
      </c>
      <c r="D105" s="470"/>
      <c r="E105" s="9"/>
    </row>
    <row r="106" spans="2:5" x14ac:dyDescent="0.25">
      <c r="B106" s="132">
        <v>70</v>
      </c>
      <c r="C106" s="11" t="s">
        <v>1451</v>
      </c>
      <c r="D106" s="470"/>
      <c r="E106" s="9"/>
    </row>
    <row r="107" spans="2:5" x14ac:dyDescent="0.25">
      <c r="B107" s="132">
        <v>71</v>
      </c>
      <c r="C107" s="11" t="s">
        <v>1451</v>
      </c>
      <c r="D107" s="470"/>
      <c r="E107" s="9"/>
    </row>
    <row r="108" spans="2:5" x14ac:dyDescent="0.25">
      <c r="B108" s="972" t="s">
        <v>301</v>
      </c>
      <c r="C108" s="973"/>
      <c r="D108" s="973"/>
      <c r="E108" s="974"/>
    </row>
    <row r="109" spans="2:5" x14ac:dyDescent="0.25">
      <c r="B109" s="978">
        <v>72</v>
      </c>
      <c r="C109" s="981" t="s">
        <v>1452</v>
      </c>
      <c r="D109" s="984">
        <f>(274837363-136819452)/1000</f>
        <v>138017.91099999999</v>
      </c>
      <c r="E109" s="987"/>
    </row>
    <row r="110" spans="2:5" ht="11.1" customHeight="1" x14ac:dyDescent="0.25">
      <c r="B110" s="979"/>
      <c r="C110" s="982"/>
      <c r="D110" s="985"/>
      <c r="E110" s="988"/>
    </row>
    <row r="111" spans="2:5" ht="11.1" customHeight="1" x14ac:dyDescent="0.25">
      <c r="B111" s="979"/>
      <c r="C111" s="982"/>
      <c r="D111" s="985"/>
      <c r="E111" s="988"/>
    </row>
    <row r="112" spans="2:5" x14ac:dyDescent="0.25">
      <c r="B112" s="980"/>
      <c r="C112" s="983"/>
      <c r="D112" s="986"/>
      <c r="E112" s="989"/>
    </row>
    <row r="113" spans="2:5" ht="75" x14ac:dyDescent="0.25">
      <c r="B113" s="132">
        <v>73</v>
      </c>
      <c r="C113" s="24" t="s">
        <v>302</v>
      </c>
      <c r="D113" s="492">
        <f>5229024/1000</f>
        <v>5229.0240000000003</v>
      </c>
      <c r="E113" s="9"/>
    </row>
    <row r="114" spans="2:5" x14ac:dyDescent="0.25">
      <c r="B114" s="132">
        <v>74</v>
      </c>
      <c r="C114" s="24" t="s">
        <v>1</v>
      </c>
      <c r="D114" s="492"/>
      <c r="E114" s="9"/>
    </row>
    <row r="115" spans="2:5" ht="60" x14ac:dyDescent="0.25">
      <c r="B115" s="132">
        <v>75</v>
      </c>
      <c r="C115" s="24" t="s">
        <v>1453</v>
      </c>
      <c r="D115" s="492">
        <v>0</v>
      </c>
      <c r="E115" s="9"/>
    </row>
    <row r="116" spans="2:5" x14ac:dyDescent="0.25">
      <c r="B116" s="972" t="s">
        <v>303</v>
      </c>
      <c r="C116" s="973"/>
      <c r="D116" s="973"/>
      <c r="E116" s="974"/>
    </row>
    <row r="117" spans="2:5" ht="45" x14ac:dyDescent="0.25">
      <c r="B117" s="132">
        <v>76</v>
      </c>
      <c r="C117" s="24" t="s">
        <v>304</v>
      </c>
      <c r="D117" s="492">
        <f>164154308/1000</f>
        <v>164154.30799999999</v>
      </c>
      <c r="E117" s="9"/>
    </row>
    <row r="118" spans="2:5" ht="30" x14ac:dyDescent="0.25">
      <c r="B118" s="132">
        <v>77</v>
      </c>
      <c r="C118" s="24" t="s">
        <v>305</v>
      </c>
      <c r="D118" s="492">
        <v>0</v>
      </c>
      <c r="E118" s="9"/>
    </row>
    <row r="119" spans="2:5" ht="45" x14ac:dyDescent="0.25">
      <c r="B119" s="132">
        <v>78</v>
      </c>
      <c r="C119" s="24" t="s">
        <v>306</v>
      </c>
      <c r="D119" s="492">
        <v>0</v>
      </c>
      <c r="E119" s="9"/>
    </row>
    <row r="120" spans="2:5" ht="30" x14ac:dyDescent="0.25">
      <c r="B120" s="132">
        <v>79</v>
      </c>
      <c r="C120" s="24" t="s">
        <v>307</v>
      </c>
      <c r="D120" s="492">
        <v>0</v>
      </c>
      <c r="E120" s="9"/>
    </row>
    <row r="121" spans="2:5" x14ac:dyDescent="0.25">
      <c r="B121" s="975" t="s">
        <v>308</v>
      </c>
      <c r="C121" s="976"/>
      <c r="D121" s="976"/>
      <c r="E121" s="977"/>
    </row>
    <row r="122" spans="2:5" ht="30" x14ac:dyDescent="0.25">
      <c r="B122" s="132">
        <v>80</v>
      </c>
      <c r="C122" s="24" t="s">
        <v>309</v>
      </c>
      <c r="D122" s="474">
        <v>0</v>
      </c>
      <c r="E122" s="9"/>
    </row>
    <row r="123" spans="2:5" ht="30" x14ac:dyDescent="0.25">
      <c r="B123" s="132">
        <v>81</v>
      </c>
      <c r="C123" s="24" t="s">
        <v>310</v>
      </c>
      <c r="D123" s="474">
        <v>0</v>
      </c>
      <c r="E123" s="9"/>
    </row>
    <row r="124" spans="2:5" ht="30" x14ac:dyDescent="0.25">
      <c r="B124" s="132">
        <v>82</v>
      </c>
      <c r="C124" s="24" t="s">
        <v>311</v>
      </c>
      <c r="D124" s="474">
        <v>0</v>
      </c>
      <c r="E124" s="9"/>
    </row>
    <row r="125" spans="2:5" ht="30" x14ac:dyDescent="0.25">
      <c r="B125" s="132">
        <v>83</v>
      </c>
      <c r="C125" s="24" t="s">
        <v>312</v>
      </c>
      <c r="D125" s="474">
        <v>0</v>
      </c>
      <c r="E125" s="9"/>
    </row>
    <row r="126" spans="2:5" ht="30" x14ac:dyDescent="0.25">
      <c r="B126" s="132">
        <v>84</v>
      </c>
      <c r="C126" s="24" t="s">
        <v>313</v>
      </c>
      <c r="D126" s="474">
        <v>0</v>
      </c>
      <c r="E126" s="9"/>
    </row>
    <row r="127" spans="2:5" ht="30" x14ac:dyDescent="0.25">
      <c r="B127" s="132">
        <v>85</v>
      </c>
      <c r="C127" s="24" t="s">
        <v>314</v>
      </c>
      <c r="D127" s="474">
        <v>0</v>
      </c>
      <c r="E127" s="9"/>
    </row>
    <row r="128" spans="2:5" x14ac:dyDescent="0.25">
      <c r="B128" s="90"/>
    </row>
    <row r="129" spans="2:2" x14ac:dyDescent="0.25">
      <c r="B129" s="90"/>
    </row>
    <row r="130" spans="2:2" x14ac:dyDescent="0.25">
      <c r="B130" s="91"/>
    </row>
    <row r="131" spans="2:2" x14ac:dyDescent="0.25">
      <c r="B131" s="91"/>
    </row>
    <row r="132" spans="2:2" x14ac:dyDescent="0.25">
      <c r="B132" s="91"/>
    </row>
    <row r="133" spans="2:2" x14ac:dyDescent="0.25">
      <c r="B133" s="91"/>
    </row>
  </sheetData>
  <mergeCells count="15">
    <mergeCell ref="B80:E80"/>
    <mergeCell ref="B7:E7"/>
    <mergeCell ref="B19:E19"/>
    <mergeCell ref="B50:E50"/>
    <mergeCell ref="B60:E60"/>
    <mergeCell ref="B71:E71"/>
    <mergeCell ref="B116:E116"/>
    <mergeCell ref="B121:E121"/>
    <mergeCell ref="B93:E93"/>
    <mergeCell ref="B104:E104"/>
    <mergeCell ref="B108:E108"/>
    <mergeCell ref="B109:B112"/>
    <mergeCell ref="C109:C112"/>
    <mergeCell ref="D109:D112"/>
    <mergeCell ref="E109:E112"/>
  </mergeCells>
  <hyperlinks>
    <hyperlink ref="B2" location="Indhold!B11" display="Skema EU CC1 — Sammensætning af lovpligtigt kapitalgrundlag" xr:uid="{70C1F89A-0916-427A-A8D2-7CDA890BFD34}"/>
  </hyperlinks>
  <pageMargins left="0.23622047244094491" right="0.23622047244094491" top="0.74803149606299213" bottom="0.74803149606299213" header="0.31496062992125984" footer="0.31496062992125984"/>
  <pageSetup paperSize="9" scale="75" orientation="landscape" r:id="rId1"/>
  <headerFooter>
    <oddHeader>&amp;CDA
Bilag VII</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10953-8D0B-4A89-98F5-62524D2B9791}">
  <sheetPr>
    <pageSetUpPr fitToPage="1"/>
  </sheetPr>
  <dimension ref="B1:S43"/>
  <sheetViews>
    <sheetView showGridLines="0" zoomScaleNormal="100" zoomScalePageLayoutView="90" workbookViewId="0">
      <selection activeCell="F1" sqref="F1"/>
    </sheetView>
  </sheetViews>
  <sheetFormatPr defaultColWidth="9" defaultRowHeight="15" x14ac:dyDescent="0.25"/>
  <cols>
    <col min="3" max="3" width="53" customWidth="1"/>
    <col min="4" max="4" width="39.7109375" customWidth="1"/>
    <col min="5" max="5" width="20.42578125" customWidth="1"/>
  </cols>
  <sheetData>
    <row r="1" spans="2:19" ht="15.75" x14ac:dyDescent="0.25">
      <c r="C1" s="92"/>
    </row>
    <row r="2" spans="2:19" ht="18.75" x14ac:dyDescent="0.3">
      <c r="B2" s="416" t="s">
        <v>315</v>
      </c>
      <c r="G2" s="868"/>
    </row>
    <row r="3" spans="2:19" ht="15" customHeight="1" x14ac:dyDescent="0.25">
      <c r="B3" s="993"/>
      <c r="C3" s="993"/>
      <c r="D3" s="993"/>
      <c r="E3" s="993"/>
      <c r="F3" s="93"/>
      <c r="G3" s="93"/>
      <c r="H3" s="93"/>
      <c r="I3" s="93"/>
      <c r="J3" s="93"/>
      <c r="K3" s="93"/>
      <c r="L3" s="93"/>
      <c r="M3" s="93"/>
      <c r="N3" s="93"/>
      <c r="O3" s="93"/>
      <c r="P3" s="93"/>
      <c r="Q3" s="93"/>
      <c r="R3" s="93"/>
      <c r="S3" s="93"/>
    </row>
    <row r="4" spans="2:19" x14ac:dyDescent="0.25">
      <c r="B4" s="993"/>
      <c r="C4" s="993"/>
      <c r="D4" s="993"/>
      <c r="E4" s="993"/>
      <c r="F4" s="93"/>
      <c r="G4" s="93"/>
      <c r="H4" s="93"/>
      <c r="I4" s="93"/>
      <c r="J4" s="93"/>
      <c r="K4" s="93"/>
      <c r="L4" s="93"/>
      <c r="M4" s="93"/>
      <c r="N4" s="93"/>
      <c r="O4" s="93"/>
      <c r="P4" s="93"/>
      <c r="Q4" s="93"/>
      <c r="R4" s="93"/>
      <c r="S4" s="93"/>
    </row>
    <row r="5" spans="2:19" x14ac:dyDescent="0.25">
      <c r="B5" s="999" t="s">
        <v>1423</v>
      </c>
      <c r="C5" s="1000"/>
      <c r="D5" s="477" t="s">
        <v>103</v>
      </c>
      <c r="E5" s="464" t="s">
        <v>97</v>
      </c>
    </row>
    <row r="6" spans="2:19" ht="45" x14ac:dyDescent="0.25">
      <c r="B6" s="999"/>
      <c r="C6" s="1000"/>
      <c r="D6" s="479" t="s">
        <v>1425</v>
      </c>
      <c r="E6" s="469" t="s">
        <v>316</v>
      </c>
    </row>
    <row r="7" spans="2:19" x14ac:dyDescent="0.25">
      <c r="B7" s="1001"/>
      <c r="C7" s="1002"/>
      <c r="D7" s="479" t="s">
        <v>317</v>
      </c>
      <c r="E7" s="469"/>
    </row>
    <row r="8" spans="2:19" ht="30" customHeight="1" x14ac:dyDescent="0.25">
      <c r="B8" s="994" t="s">
        <v>1454</v>
      </c>
      <c r="C8" s="995"/>
      <c r="D8" s="996"/>
      <c r="E8" s="997"/>
    </row>
    <row r="9" spans="2:19" ht="30" x14ac:dyDescent="0.25">
      <c r="B9" s="475">
        <v>1</v>
      </c>
      <c r="C9" s="28" t="s">
        <v>119</v>
      </c>
      <c r="D9" s="162">
        <f>+'3'!D9</f>
        <v>736055</v>
      </c>
      <c r="E9" s="496"/>
    </row>
    <row r="10" spans="2:19" x14ac:dyDescent="0.25">
      <c r="B10" s="475">
        <v>2</v>
      </c>
      <c r="C10" s="28" t="s">
        <v>120</v>
      </c>
      <c r="D10" s="162">
        <f>+'3'!D10</f>
        <v>113158</v>
      </c>
      <c r="E10" s="496"/>
    </row>
    <row r="11" spans="2:19" x14ac:dyDescent="0.25">
      <c r="B11" s="475">
        <v>3</v>
      </c>
      <c r="C11" s="28" t="s">
        <v>121</v>
      </c>
      <c r="D11" s="162">
        <f>+'3'!D11</f>
        <v>0</v>
      </c>
      <c r="E11" s="496"/>
    </row>
    <row r="12" spans="2:19" x14ac:dyDescent="0.25">
      <c r="B12" s="475">
        <v>4</v>
      </c>
      <c r="C12" s="28" t="s">
        <v>122</v>
      </c>
      <c r="D12" s="162">
        <f>+'3'!D12</f>
        <v>4106151</v>
      </c>
      <c r="E12" s="496"/>
    </row>
    <row r="13" spans="2:19" x14ac:dyDescent="0.25">
      <c r="B13" s="475">
        <v>5</v>
      </c>
      <c r="C13" s="28" t="s">
        <v>123</v>
      </c>
      <c r="D13" s="162">
        <f>+'3'!D13</f>
        <v>3378197</v>
      </c>
      <c r="E13" s="496"/>
    </row>
    <row r="14" spans="2:19" x14ac:dyDescent="0.25">
      <c r="B14" s="475">
        <v>6</v>
      </c>
      <c r="C14" s="28" t="s">
        <v>124</v>
      </c>
      <c r="D14" s="162">
        <f>+'3'!D14</f>
        <v>330725</v>
      </c>
      <c r="E14" s="496"/>
    </row>
    <row r="15" spans="2:19" x14ac:dyDescent="0.25">
      <c r="B15" s="475">
        <v>7</v>
      </c>
      <c r="C15" s="28" t="s">
        <v>125</v>
      </c>
      <c r="D15" s="162">
        <f>+'3'!D15</f>
        <v>54233</v>
      </c>
      <c r="E15" s="496"/>
    </row>
    <row r="16" spans="2:19" x14ac:dyDescent="0.25">
      <c r="B16" s="475">
        <v>8</v>
      </c>
      <c r="C16" s="28" t="s">
        <v>126</v>
      </c>
      <c r="D16" s="162">
        <f>+'3'!D16</f>
        <v>846694</v>
      </c>
      <c r="E16" s="496"/>
    </row>
    <row r="17" spans="2:5" x14ac:dyDescent="0.25">
      <c r="B17" s="475">
        <v>9</v>
      </c>
      <c r="C17" s="28" t="s">
        <v>127</v>
      </c>
      <c r="D17" s="162">
        <f>+'3'!D17</f>
        <v>75469</v>
      </c>
      <c r="E17" s="496"/>
    </row>
    <row r="18" spans="2:5" x14ac:dyDescent="0.25">
      <c r="B18" s="475">
        <v>10</v>
      </c>
      <c r="C18" s="28" t="s">
        <v>128</v>
      </c>
      <c r="D18" s="162">
        <f>+'3'!D18</f>
        <v>3244</v>
      </c>
      <c r="E18" s="496"/>
    </row>
    <row r="19" spans="2:5" x14ac:dyDescent="0.25">
      <c r="B19" s="475">
        <v>11</v>
      </c>
      <c r="C19" s="28" t="s">
        <v>129</v>
      </c>
      <c r="D19" s="162">
        <f>+'3'!D19</f>
        <v>3533</v>
      </c>
      <c r="E19" s="496"/>
    </row>
    <row r="20" spans="2:5" x14ac:dyDescent="0.25">
      <c r="B20" s="475">
        <f>+B19+1</f>
        <v>12</v>
      </c>
      <c r="C20" s="28" t="s">
        <v>1494</v>
      </c>
      <c r="D20" s="162">
        <f>+'3'!D20</f>
        <v>0</v>
      </c>
      <c r="E20" s="496"/>
    </row>
    <row r="21" spans="2:5" x14ac:dyDescent="0.25">
      <c r="B21" s="475">
        <f>+B20+1</f>
        <v>13</v>
      </c>
      <c r="C21" s="28" t="s">
        <v>130</v>
      </c>
      <c r="D21" s="162">
        <f>+'3'!D21</f>
        <v>146164</v>
      </c>
      <c r="E21" s="496"/>
    </row>
    <row r="22" spans="2:5" x14ac:dyDescent="0.25">
      <c r="B22" s="475">
        <f>+B21+1</f>
        <v>14</v>
      </c>
      <c r="C22" s="28" t="s">
        <v>131</v>
      </c>
      <c r="D22" s="162">
        <f>+'3'!D22</f>
        <v>10155</v>
      </c>
      <c r="E22" s="496"/>
    </row>
    <row r="23" spans="2:5" x14ac:dyDescent="0.25">
      <c r="B23" s="475"/>
      <c r="C23" s="95" t="s">
        <v>318</v>
      </c>
      <c r="D23" s="162">
        <f>SUM(D9:D22)</f>
        <v>9803778</v>
      </c>
      <c r="E23" s="496"/>
    </row>
    <row r="24" spans="2:5" ht="30" customHeight="1" x14ac:dyDescent="0.25">
      <c r="B24" s="994" t="s">
        <v>1455</v>
      </c>
      <c r="C24" s="995"/>
      <c r="D24" s="995"/>
      <c r="E24" s="998"/>
    </row>
    <row r="25" spans="2:5" x14ac:dyDescent="0.25">
      <c r="B25" s="476">
        <v>1</v>
      </c>
      <c r="C25" s="28" t="s">
        <v>135</v>
      </c>
      <c r="D25" s="162">
        <f>+'3'!D26</f>
        <v>199554</v>
      </c>
      <c r="E25" s="497"/>
    </row>
    <row r="26" spans="2:5" x14ac:dyDescent="0.25">
      <c r="B26" s="475">
        <v>2</v>
      </c>
      <c r="C26" s="28" t="s">
        <v>136</v>
      </c>
      <c r="D26" s="162">
        <f>+'3'!D27</f>
        <v>7203781</v>
      </c>
      <c r="E26" s="497"/>
    </row>
    <row r="27" spans="2:5" x14ac:dyDescent="0.25">
      <c r="B27" s="475">
        <v>3</v>
      </c>
      <c r="C27" s="28" t="s">
        <v>137</v>
      </c>
      <c r="D27" s="162">
        <f>+'3'!D28</f>
        <v>846694</v>
      </c>
      <c r="E27" s="497"/>
    </row>
    <row r="28" spans="2:5" x14ac:dyDescent="0.25">
      <c r="B28" s="475">
        <v>4</v>
      </c>
      <c r="C28" s="45" t="s">
        <v>1495</v>
      </c>
      <c r="D28" s="162">
        <f>+'3'!D29</f>
        <v>0</v>
      </c>
      <c r="E28" s="497"/>
    </row>
    <row r="29" spans="2:5" x14ac:dyDescent="0.25">
      <c r="B29" s="475">
        <v>5</v>
      </c>
      <c r="C29" s="28" t="s">
        <v>138</v>
      </c>
      <c r="D29" s="162">
        <f>+'3'!D30</f>
        <v>59791</v>
      </c>
      <c r="E29" s="497"/>
    </row>
    <row r="30" spans="2:5" x14ac:dyDescent="0.25">
      <c r="B30" s="475">
        <v>6</v>
      </c>
      <c r="C30" s="28" t="s">
        <v>131</v>
      </c>
      <c r="D30" s="162">
        <f>+'3'!D31</f>
        <v>17118</v>
      </c>
      <c r="E30" s="497"/>
    </row>
    <row r="31" spans="2:5" x14ac:dyDescent="0.25">
      <c r="B31" s="475">
        <v>7</v>
      </c>
      <c r="C31" s="45" t="s">
        <v>1588</v>
      </c>
      <c r="D31" s="162">
        <f>+'3'!D32</f>
        <v>46417</v>
      </c>
      <c r="E31" s="497"/>
    </row>
    <row r="32" spans="2:5" x14ac:dyDescent="0.25">
      <c r="B32" s="475"/>
      <c r="C32" s="95" t="s">
        <v>319</v>
      </c>
      <c r="D32" s="162">
        <f>SUM(D25:D31)</f>
        <v>8373355</v>
      </c>
      <c r="E32" s="497"/>
    </row>
    <row r="33" spans="2:5" ht="15" customHeight="1" x14ac:dyDescent="0.25">
      <c r="B33" s="97" t="s">
        <v>320</v>
      </c>
      <c r="C33" s="98"/>
      <c r="D33" s="99"/>
      <c r="E33" s="100"/>
    </row>
    <row r="34" spans="2:5" x14ac:dyDescent="0.25">
      <c r="B34" s="475">
        <v>1</v>
      </c>
      <c r="C34" s="28" t="s">
        <v>139</v>
      </c>
      <c r="D34" s="162">
        <f>+'3'!D33</f>
        <v>75810</v>
      </c>
      <c r="E34" s="96" t="s">
        <v>1426</v>
      </c>
    </row>
    <row r="35" spans="2:5" x14ac:dyDescent="0.25">
      <c r="B35" s="475">
        <v>2</v>
      </c>
      <c r="C35" s="28" t="s">
        <v>140</v>
      </c>
      <c r="D35" s="162">
        <f>+'3'!D34</f>
        <v>3718</v>
      </c>
      <c r="E35" s="96" t="s">
        <v>1430</v>
      </c>
    </row>
    <row r="36" spans="2:5" x14ac:dyDescent="0.25">
      <c r="B36" s="475">
        <v>3</v>
      </c>
      <c r="C36" s="28" t="s">
        <v>141</v>
      </c>
      <c r="D36" s="162">
        <f>+'3'!D35</f>
        <v>-610</v>
      </c>
      <c r="E36" s="96" t="s">
        <v>1430</v>
      </c>
    </row>
    <row r="37" spans="2:5" x14ac:dyDescent="0.25">
      <c r="B37" s="475">
        <v>4</v>
      </c>
      <c r="C37" s="28" t="s">
        <v>1432</v>
      </c>
      <c r="D37" s="162">
        <f>1310596-83057</f>
        <v>1227539</v>
      </c>
      <c r="E37" s="96" t="s">
        <v>1429</v>
      </c>
    </row>
    <row r="38" spans="2:5" x14ac:dyDescent="0.25">
      <c r="B38" s="475">
        <v>5</v>
      </c>
      <c r="C38" s="28" t="s">
        <v>1433</v>
      </c>
      <c r="D38" s="162">
        <f>123966-40909</f>
        <v>83057</v>
      </c>
      <c r="E38" s="96" t="s">
        <v>1434</v>
      </c>
    </row>
    <row r="39" spans="2:5" x14ac:dyDescent="0.25">
      <c r="B39" s="475">
        <v>6</v>
      </c>
      <c r="C39" s="28" t="s">
        <v>143</v>
      </c>
      <c r="D39" s="162">
        <v>40909</v>
      </c>
      <c r="E39" s="96"/>
    </row>
    <row r="40" spans="2:5" x14ac:dyDescent="0.25">
      <c r="B40" s="475">
        <v>7</v>
      </c>
      <c r="C40" s="28" t="s">
        <v>1436</v>
      </c>
      <c r="D40" s="162">
        <v>0</v>
      </c>
      <c r="E40" s="96"/>
    </row>
    <row r="41" spans="2:5" x14ac:dyDescent="0.25">
      <c r="B41" s="475"/>
      <c r="C41" s="95" t="s">
        <v>321</v>
      </c>
      <c r="D41" s="162">
        <f>SUM(D34:D40)</f>
        <v>1430423</v>
      </c>
      <c r="E41" s="96"/>
    </row>
    <row r="42" spans="2:5" x14ac:dyDescent="0.25">
      <c r="D42" s="102"/>
      <c r="E42" s="102"/>
    </row>
    <row r="43" spans="2:5" x14ac:dyDescent="0.25">
      <c r="D43" s="353"/>
    </row>
  </sheetData>
  <mergeCells count="4">
    <mergeCell ref="B3:E4"/>
    <mergeCell ref="B8:E8"/>
    <mergeCell ref="B24:E24"/>
    <mergeCell ref="B5:C7"/>
  </mergeCells>
  <hyperlinks>
    <hyperlink ref="B2" location="Indhold!B12" display="Skema CC2 – Afstemning mellem lovbestemt kapitalgrundlag og balancen i de reviderede regnskaber" xr:uid="{41440300-B052-41A9-97FC-9680929EA14E}"/>
  </hyperlinks>
  <pageMargins left="0.7" right="0.7" top="0.75" bottom="0.75" header="0.3" footer="0.3"/>
  <pageSetup paperSize="9" scale="75" orientation="landscape" r:id="rId1"/>
  <headerFooter>
    <oddHeader>&amp;CDA
Bilag VII</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FED32-1E51-4E63-8719-1D0B24E9F6AE}">
  <sheetPr>
    <pageSetUpPr fitToPage="1"/>
  </sheetPr>
  <dimension ref="B2:F21"/>
  <sheetViews>
    <sheetView showGridLines="0" zoomScaleNormal="100" workbookViewId="0">
      <selection activeCell="F1" sqref="F1"/>
    </sheetView>
  </sheetViews>
  <sheetFormatPr defaultColWidth="9.140625" defaultRowHeight="15" x14ac:dyDescent="0.25"/>
  <cols>
    <col min="3" max="3" width="63.140625" customWidth="1"/>
    <col min="4" max="4" width="17.85546875" style="87" customWidth="1"/>
  </cols>
  <sheetData>
    <row r="2" spans="2:6" ht="18.75" customHeight="1" x14ac:dyDescent="0.3">
      <c r="B2" s="416" t="s">
        <v>355</v>
      </c>
      <c r="C2" s="121"/>
      <c r="D2" s="122"/>
    </row>
    <row r="3" spans="2:6" ht="15" customHeight="1" x14ac:dyDescent="0.25">
      <c r="B3" s="121"/>
      <c r="C3" s="121"/>
      <c r="D3"/>
    </row>
    <row r="5" spans="2:6" x14ac:dyDescent="0.25">
      <c r="B5" s="714"/>
      <c r="C5" s="715"/>
      <c r="D5" s="482" t="s">
        <v>1423</v>
      </c>
    </row>
    <row r="6" spans="2:6" x14ac:dyDescent="0.25">
      <c r="B6" s="716"/>
      <c r="C6" s="717"/>
      <c r="D6" s="483" t="s">
        <v>356</v>
      </c>
    </row>
    <row r="7" spans="2:6" x14ac:dyDescent="0.25">
      <c r="B7" s="123">
        <v>1</v>
      </c>
      <c r="C7" s="480" t="s">
        <v>357</v>
      </c>
      <c r="D7" s="481">
        <f>+'7'!D23</f>
        <v>9803778</v>
      </c>
      <c r="E7" s="125"/>
      <c r="F7" s="25"/>
    </row>
    <row r="8" spans="2:6" ht="45" x14ac:dyDescent="0.25">
      <c r="B8" s="16">
        <v>2</v>
      </c>
      <c r="C8" s="28" t="s">
        <v>358</v>
      </c>
      <c r="D8" s="124">
        <v>0</v>
      </c>
      <c r="E8" s="125"/>
      <c r="F8" s="25"/>
    </row>
    <row r="9" spans="2:6" ht="30" x14ac:dyDescent="0.25">
      <c r="B9" s="16">
        <v>3</v>
      </c>
      <c r="C9" s="28" t="s">
        <v>359</v>
      </c>
      <c r="D9" s="126">
        <v>0</v>
      </c>
    </row>
    <row r="10" spans="2:6" ht="30" x14ac:dyDescent="0.25">
      <c r="B10" s="16">
        <v>4</v>
      </c>
      <c r="C10" s="58" t="s">
        <v>360</v>
      </c>
      <c r="D10" s="126">
        <v>0</v>
      </c>
    </row>
    <row r="11" spans="2:6" ht="60" x14ac:dyDescent="0.25">
      <c r="B11" s="16">
        <v>5</v>
      </c>
      <c r="C11" s="9" t="s">
        <v>361</v>
      </c>
      <c r="D11" s="126">
        <v>0</v>
      </c>
    </row>
    <row r="12" spans="2:6" ht="30" x14ac:dyDescent="0.25">
      <c r="B12" s="16">
        <v>6</v>
      </c>
      <c r="C12" s="28" t="s">
        <v>362</v>
      </c>
      <c r="D12" s="127">
        <v>0</v>
      </c>
    </row>
    <row r="13" spans="2:6" x14ac:dyDescent="0.25">
      <c r="B13" s="16">
        <v>7</v>
      </c>
      <c r="C13" s="28" t="s">
        <v>363</v>
      </c>
      <c r="D13" s="128">
        <v>0</v>
      </c>
    </row>
    <row r="14" spans="2:6" x14ac:dyDescent="0.25">
      <c r="B14" s="16">
        <v>8</v>
      </c>
      <c r="C14" s="28" t="s">
        <v>364</v>
      </c>
      <c r="D14" s="126">
        <v>0</v>
      </c>
    </row>
    <row r="15" spans="2:6" x14ac:dyDescent="0.25">
      <c r="B15" s="16">
        <v>9</v>
      </c>
      <c r="C15" s="28" t="s">
        <v>365</v>
      </c>
      <c r="D15" s="126">
        <v>0</v>
      </c>
    </row>
    <row r="16" spans="2:6" ht="30" x14ac:dyDescent="0.25">
      <c r="B16" s="16">
        <v>10</v>
      </c>
      <c r="C16" s="28" t="s">
        <v>366</v>
      </c>
      <c r="D16" s="126">
        <f>+(263287000+51492000+16081000+852858000)/1000-1</f>
        <v>1183717</v>
      </c>
    </row>
    <row r="17" spans="2:4" ht="45" x14ac:dyDescent="0.25">
      <c r="B17" s="16">
        <v>11</v>
      </c>
      <c r="C17" s="9" t="s">
        <v>367</v>
      </c>
      <c r="D17" s="129">
        <v>0</v>
      </c>
    </row>
    <row r="18" spans="2:4" ht="30" x14ac:dyDescent="0.25">
      <c r="B18" s="16" t="s">
        <v>368</v>
      </c>
      <c r="C18" s="9" t="s">
        <v>369</v>
      </c>
      <c r="D18" s="130">
        <v>0</v>
      </c>
    </row>
    <row r="19" spans="2:4" ht="30" x14ac:dyDescent="0.25">
      <c r="B19" s="16" t="s">
        <v>370</v>
      </c>
      <c r="C19" s="9" t="s">
        <v>371</v>
      </c>
      <c r="D19" s="130">
        <v>0</v>
      </c>
    </row>
    <row r="20" spans="2:4" x14ac:dyDescent="0.25">
      <c r="B20" s="16">
        <v>12</v>
      </c>
      <c r="C20" s="28" t="s">
        <v>372</v>
      </c>
      <c r="D20" s="126">
        <v>-136819</v>
      </c>
    </row>
    <row r="21" spans="2:4" x14ac:dyDescent="0.25">
      <c r="B21" s="16">
        <v>13</v>
      </c>
      <c r="C21" s="95" t="s">
        <v>373</v>
      </c>
      <c r="D21" s="130">
        <f>+'9'!D55</f>
        <v>10850676</v>
      </c>
    </row>
  </sheetData>
  <hyperlinks>
    <hyperlink ref="B2" location="Indhold!B14" display="Skema EU LR1 - LRSum: Afstemning mellem regnskabsmæssige aktiver og gearingsgradrelevante eksponeringer — oversigt" xr:uid="{B23A74C6-FC70-4DB0-B46E-6372CB7AE42F}"/>
  </hyperlinks>
  <pageMargins left="0.70866141732283472" right="0.70866141732283472" top="0.74803149606299213" bottom="0.74803149606299213" header="0.31496062992125984" footer="0.31496062992125984"/>
  <pageSetup paperSize="9" orientation="landscape" r:id="rId1"/>
  <headerFooter>
    <oddHeader>&amp;CDA
Bilag XI</oddHeader>
    <oddFooter>&amp;C1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BE23F-B6CA-410E-A336-63C38B47C9AC}">
  <sheetPr>
    <pageSetUpPr fitToPage="1"/>
  </sheetPr>
  <dimension ref="A1:M73"/>
  <sheetViews>
    <sheetView showGridLines="0" zoomScaleNormal="100" workbookViewId="0">
      <selection activeCell="F1" sqref="F1"/>
    </sheetView>
  </sheetViews>
  <sheetFormatPr defaultColWidth="9.140625" defaultRowHeight="43.5" customHeight="1" x14ac:dyDescent="0.25"/>
  <cols>
    <col min="2" max="2" width="8.5703125" style="85" customWidth="1"/>
    <col min="3" max="3" width="71.85546875" customWidth="1"/>
    <col min="4" max="4" width="14" style="102" customWidth="1"/>
    <col min="5" max="5" width="13.85546875" style="102" customWidth="1"/>
  </cols>
  <sheetData>
    <row r="1" spans="1:5" ht="15" x14ac:dyDescent="0.25"/>
    <row r="2" spans="1:5" ht="18.75" x14ac:dyDescent="0.3">
      <c r="A2" s="131"/>
      <c r="B2" s="416" t="s">
        <v>374</v>
      </c>
    </row>
    <row r="3" spans="1:5" ht="15" customHeight="1" x14ac:dyDescent="0.3">
      <c r="A3" s="131"/>
      <c r="B3" s="416"/>
    </row>
    <row r="4" spans="1:5" ht="15" x14ac:dyDescent="0.25"/>
    <row r="5" spans="1:5" ht="43.5" customHeight="1" x14ac:dyDescent="0.25">
      <c r="B5" s="802"/>
      <c r="C5" s="803"/>
      <c r="D5" s="1012" t="s">
        <v>375</v>
      </c>
      <c r="E5" s="1012"/>
    </row>
    <row r="6" spans="1:5" ht="43.5" customHeight="1" x14ac:dyDescent="0.25">
      <c r="B6" s="1013"/>
      <c r="C6" s="1013"/>
      <c r="D6" s="485" t="s">
        <v>1423</v>
      </c>
      <c r="E6" s="485" t="s">
        <v>1423</v>
      </c>
    </row>
    <row r="7" spans="1:5" ht="43.5" customHeight="1" x14ac:dyDescent="0.25">
      <c r="B7" s="1014"/>
      <c r="C7" s="1014"/>
      <c r="D7" s="486" t="s">
        <v>1589</v>
      </c>
      <c r="E7" s="486" t="s">
        <v>1499</v>
      </c>
    </row>
    <row r="8" spans="1:5" ht="15" x14ac:dyDescent="0.25">
      <c r="B8" s="1015" t="s">
        <v>376</v>
      </c>
      <c r="C8" s="1016"/>
      <c r="D8" s="1016"/>
      <c r="E8" s="1017"/>
    </row>
    <row r="9" spans="1:5" ht="15" x14ac:dyDescent="0.25">
      <c r="B9" s="132">
        <v>1</v>
      </c>
      <c r="C9" s="9" t="s">
        <v>377</v>
      </c>
      <c r="D9" s="128">
        <f>+'8'!D7</f>
        <v>9803778</v>
      </c>
      <c r="E9" s="128">
        <v>8774914</v>
      </c>
    </row>
    <row r="10" spans="1:5" ht="30" x14ac:dyDescent="0.25">
      <c r="B10" s="52">
        <v>2</v>
      </c>
      <c r="C10" s="9" t="s">
        <v>378</v>
      </c>
      <c r="D10" s="126">
        <v>0</v>
      </c>
      <c r="E10" s="126">
        <v>0</v>
      </c>
    </row>
    <row r="11" spans="1:5" ht="30" x14ac:dyDescent="0.25">
      <c r="B11" s="52">
        <v>3</v>
      </c>
      <c r="C11" s="9" t="s">
        <v>379</v>
      </c>
      <c r="D11" s="126">
        <v>0</v>
      </c>
      <c r="E11" s="126">
        <v>0</v>
      </c>
    </row>
    <row r="12" spans="1:5" ht="30" x14ac:dyDescent="0.25">
      <c r="B12" s="52">
        <v>4</v>
      </c>
      <c r="C12" s="9" t="s">
        <v>380</v>
      </c>
      <c r="D12" s="126">
        <v>0</v>
      </c>
      <c r="E12" s="126">
        <v>0</v>
      </c>
    </row>
    <row r="13" spans="1:5" ht="15" x14ac:dyDescent="0.25">
      <c r="B13" s="52">
        <v>5</v>
      </c>
      <c r="C13" s="133" t="s">
        <v>381</v>
      </c>
      <c r="D13" s="127">
        <v>0</v>
      </c>
      <c r="E13" s="127">
        <v>0</v>
      </c>
    </row>
    <row r="14" spans="1:5" ht="15" x14ac:dyDescent="0.25">
      <c r="B14" s="132">
        <v>6</v>
      </c>
      <c r="C14" s="9" t="s">
        <v>382</v>
      </c>
      <c r="D14" s="126">
        <v>-136819</v>
      </c>
      <c r="E14" s="126">
        <v>-139861</v>
      </c>
    </row>
    <row r="15" spans="1:5" ht="15" x14ac:dyDescent="0.25">
      <c r="B15" s="134">
        <v>7</v>
      </c>
      <c r="C15" s="135" t="s">
        <v>383</v>
      </c>
      <c r="D15" s="136">
        <f>SUM(D9:D14)</f>
        <v>9666959</v>
      </c>
      <c r="E15" s="136">
        <f>SUM(E9:E14)</f>
        <v>8635053</v>
      </c>
    </row>
    <row r="16" spans="1:5" ht="15" x14ac:dyDescent="0.25">
      <c r="B16" s="1009" t="s">
        <v>384</v>
      </c>
      <c r="C16" s="1010"/>
      <c r="D16" s="1010"/>
      <c r="E16" s="1011"/>
    </row>
    <row r="17" spans="2:5" ht="45" x14ac:dyDescent="0.25">
      <c r="B17" s="10">
        <v>8</v>
      </c>
      <c r="C17" s="137" t="s">
        <v>385</v>
      </c>
      <c r="D17" s="128">
        <v>0</v>
      </c>
      <c r="E17" s="128">
        <v>0</v>
      </c>
    </row>
    <row r="18" spans="2:5" ht="30" x14ac:dyDescent="0.25">
      <c r="B18" s="10" t="s">
        <v>386</v>
      </c>
      <c r="C18" s="138" t="s">
        <v>387</v>
      </c>
      <c r="D18" s="128">
        <v>0</v>
      </c>
      <c r="E18" s="128">
        <v>0</v>
      </c>
    </row>
    <row r="19" spans="2:5" ht="30" x14ac:dyDescent="0.25">
      <c r="B19" s="10">
        <v>9</v>
      </c>
      <c r="C19" s="9" t="s">
        <v>388</v>
      </c>
      <c r="D19" s="128">
        <v>0</v>
      </c>
      <c r="E19" s="128">
        <v>0</v>
      </c>
    </row>
    <row r="20" spans="2:5" ht="30" x14ac:dyDescent="0.25">
      <c r="B20" s="10" t="s">
        <v>389</v>
      </c>
      <c r="C20" s="139" t="s">
        <v>390</v>
      </c>
      <c r="D20" s="128">
        <v>0</v>
      </c>
      <c r="E20" s="128">
        <v>0</v>
      </c>
    </row>
    <row r="21" spans="2:5" ht="15" x14ac:dyDescent="0.25">
      <c r="B21" s="10" t="s">
        <v>391</v>
      </c>
      <c r="C21" s="139" t="s">
        <v>392</v>
      </c>
      <c r="D21" s="128">
        <v>0</v>
      </c>
      <c r="E21" s="128">
        <v>0</v>
      </c>
    </row>
    <row r="22" spans="2:5" ht="30" x14ac:dyDescent="0.25">
      <c r="B22" s="140">
        <v>10</v>
      </c>
      <c r="C22" s="101" t="s">
        <v>393</v>
      </c>
      <c r="D22" s="128">
        <v>0</v>
      </c>
      <c r="E22" s="128">
        <v>0</v>
      </c>
    </row>
    <row r="23" spans="2:5" ht="30" x14ac:dyDescent="0.25">
      <c r="B23" s="140" t="s">
        <v>394</v>
      </c>
      <c r="C23" s="11" t="s">
        <v>395</v>
      </c>
      <c r="D23" s="128">
        <v>0</v>
      </c>
      <c r="E23" s="128">
        <v>0</v>
      </c>
    </row>
    <row r="24" spans="2:5" ht="30" x14ac:dyDescent="0.25">
      <c r="B24" s="140" t="s">
        <v>396</v>
      </c>
      <c r="C24" s="141" t="s">
        <v>397</v>
      </c>
      <c r="D24" s="128">
        <v>0</v>
      </c>
      <c r="E24" s="128">
        <v>0</v>
      </c>
    </row>
    <row r="25" spans="2:5" ht="15" x14ac:dyDescent="0.25">
      <c r="B25" s="10">
        <v>11</v>
      </c>
      <c r="C25" s="9" t="s">
        <v>398</v>
      </c>
      <c r="D25" s="128">
        <v>0</v>
      </c>
      <c r="E25" s="128">
        <v>0</v>
      </c>
    </row>
    <row r="26" spans="2:5" ht="30" x14ac:dyDescent="0.25">
      <c r="B26" s="10">
        <v>12</v>
      </c>
      <c r="C26" s="9" t="s">
        <v>399</v>
      </c>
      <c r="D26" s="128">
        <v>0</v>
      </c>
      <c r="E26" s="128">
        <v>0</v>
      </c>
    </row>
    <row r="27" spans="2:5" ht="15" x14ac:dyDescent="0.25">
      <c r="B27" s="142">
        <v>13</v>
      </c>
      <c r="C27" s="143" t="s">
        <v>400</v>
      </c>
      <c r="D27" s="136">
        <f>SUM(D17:D26)</f>
        <v>0</v>
      </c>
      <c r="E27" s="136">
        <f>SUM(E17:E26)</f>
        <v>0</v>
      </c>
    </row>
    <row r="28" spans="2:5" ht="15" x14ac:dyDescent="0.25">
      <c r="B28" s="1018" t="s">
        <v>401</v>
      </c>
      <c r="C28" s="1019"/>
      <c r="D28" s="1019"/>
      <c r="E28" s="1020"/>
    </row>
    <row r="29" spans="2:5" ht="30" x14ac:dyDescent="0.25">
      <c r="B29" s="132">
        <v>14</v>
      </c>
      <c r="C29" s="9" t="s">
        <v>402</v>
      </c>
      <c r="D29" s="128">
        <v>0</v>
      </c>
      <c r="E29" s="128">
        <v>0</v>
      </c>
    </row>
    <row r="30" spans="2:5" ht="30" x14ac:dyDescent="0.25">
      <c r="B30" s="132">
        <v>15</v>
      </c>
      <c r="C30" s="9" t="s">
        <v>403</v>
      </c>
      <c r="D30" s="499">
        <v>0</v>
      </c>
      <c r="E30" s="128">
        <v>0</v>
      </c>
    </row>
    <row r="31" spans="2:5" ht="15" x14ac:dyDescent="0.25">
      <c r="B31" s="132">
        <v>16</v>
      </c>
      <c r="C31" s="9" t="s">
        <v>404</v>
      </c>
      <c r="D31" s="128">
        <v>0</v>
      </c>
      <c r="E31" s="128">
        <v>0</v>
      </c>
    </row>
    <row r="32" spans="2:5" ht="30" x14ac:dyDescent="0.25">
      <c r="B32" s="10" t="s">
        <v>405</v>
      </c>
      <c r="C32" s="9" t="s">
        <v>406</v>
      </c>
      <c r="D32" s="128">
        <v>0</v>
      </c>
      <c r="E32" s="128">
        <v>0</v>
      </c>
    </row>
    <row r="33" spans="2:5" ht="15" x14ac:dyDescent="0.25">
      <c r="B33" s="10">
        <v>17</v>
      </c>
      <c r="C33" s="9" t="s">
        <v>407</v>
      </c>
      <c r="D33" s="128">
        <v>0</v>
      </c>
      <c r="E33" s="128">
        <v>0</v>
      </c>
    </row>
    <row r="34" spans="2:5" ht="15" x14ac:dyDescent="0.25">
      <c r="B34" s="10" t="s">
        <v>408</v>
      </c>
      <c r="C34" s="9" t="s">
        <v>409</v>
      </c>
      <c r="D34" s="128">
        <v>0</v>
      </c>
      <c r="E34" s="128">
        <v>0</v>
      </c>
    </row>
    <row r="35" spans="2:5" ht="15" x14ac:dyDescent="0.25">
      <c r="B35" s="142">
        <v>18</v>
      </c>
      <c r="C35" s="143" t="s">
        <v>410</v>
      </c>
      <c r="D35" s="136">
        <f>SUM(D29:D34)</f>
        <v>0</v>
      </c>
      <c r="E35" s="136">
        <f>SUM(E29:E34)</f>
        <v>0</v>
      </c>
    </row>
    <row r="36" spans="2:5" ht="15" x14ac:dyDescent="0.25">
      <c r="B36" s="1009" t="s">
        <v>411</v>
      </c>
      <c r="C36" s="1010"/>
      <c r="D36" s="1010"/>
      <c r="E36" s="1011"/>
    </row>
    <row r="37" spans="2:5" ht="15" x14ac:dyDescent="0.25">
      <c r="B37" s="132">
        <v>19</v>
      </c>
      <c r="C37" s="9" t="s">
        <v>412</v>
      </c>
      <c r="D37" s="128">
        <v>3775343</v>
      </c>
      <c r="E37" s="128">
        <v>3857521</v>
      </c>
    </row>
    <row r="38" spans="2:5" ht="15" x14ac:dyDescent="0.25">
      <c r="B38" s="132">
        <v>20</v>
      </c>
      <c r="C38" s="9" t="s">
        <v>413</v>
      </c>
      <c r="D38" s="128">
        <f>+D40-D37</f>
        <v>-2591626</v>
      </c>
      <c r="E38" s="128">
        <f>+E40-E37</f>
        <v>-2521165</v>
      </c>
    </row>
    <row r="39" spans="2:5" ht="30" x14ac:dyDescent="0.25">
      <c r="B39" s="132">
        <v>21</v>
      </c>
      <c r="C39" s="58" t="s">
        <v>414</v>
      </c>
      <c r="D39" s="128">
        <v>0</v>
      </c>
      <c r="E39" s="128">
        <v>0</v>
      </c>
    </row>
    <row r="40" spans="2:5" ht="15" x14ac:dyDescent="0.25">
      <c r="B40" s="142">
        <v>22</v>
      </c>
      <c r="C40" s="143" t="s">
        <v>415</v>
      </c>
      <c r="D40" s="136">
        <v>1183717</v>
      </c>
      <c r="E40" s="136">
        <f>+(247968000+68080000+17134000+1003174000)/1000</f>
        <v>1336356</v>
      </c>
    </row>
    <row r="41" spans="2:5" ht="15" x14ac:dyDescent="0.25">
      <c r="B41" s="1003" t="s">
        <v>416</v>
      </c>
      <c r="C41" s="1004"/>
      <c r="D41" s="1004"/>
      <c r="E41" s="1005"/>
    </row>
    <row r="42" spans="2:5" ht="30" x14ac:dyDescent="0.25">
      <c r="B42" s="10" t="s">
        <v>417</v>
      </c>
      <c r="C42" s="9" t="s">
        <v>418</v>
      </c>
      <c r="D42" s="128">
        <v>0</v>
      </c>
      <c r="E42" s="128">
        <v>0</v>
      </c>
    </row>
    <row r="43" spans="2:5" ht="30" x14ac:dyDescent="0.25">
      <c r="B43" s="10" t="s">
        <v>419</v>
      </c>
      <c r="C43" s="9" t="s">
        <v>420</v>
      </c>
      <c r="D43" s="128">
        <v>0</v>
      </c>
      <c r="E43" s="128">
        <v>0</v>
      </c>
    </row>
    <row r="44" spans="2:5" ht="30" x14ac:dyDescent="0.25">
      <c r="B44" s="144" t="s">
        <v>421</v>
      </c>
      <c r="C44" s="138" t="s">
        <v>422</v>
      </c>
      <c r="D44" s="128">
        <v>0</v>
      </c>
      <c r="E44" s="128">
        <v>0</v>
      </c>
    </row>
    <row r="45" spans="2:5" ht="30" x14ac:dyDescent="0.25">
      <c r="B45" s="144" t="s">
        <v>423</v>
      </c>
      <c r="C45" s="138" t="s">
        <v>424</v>
      </c>
      <c r="D45" s="128">
        <v>0</v>
      </c>
      <c r="E45" s="128">
        <v>0</v>
      </c>
    </row>
    <row r="46" spans="2:5" ht="30" x14ac:dyDescent="0.25">
      <c r="B46" s="144" t="s">
        <v>425</v>
      </c>
      <c r="C46" s="145" t="s">
        <v>426</v>
      </c>
      <c r="D46" s="128">
        <v>0</v>
      </c>
      <c r="E46" s="128">
        <v>0</v>
      </c>
    </row>
    <row r="47" spans="2:5" ht="30" x14ac:dyDescent="0.25">
      <c r="B47" s="144" t="s">
        <v>427</v>
      </c>
      <c r="C47" s="138" t="s">
        <v>428</v>
      </c>
      <c r="D47" s="128">
        <v>0</v>
      </c>
      <c r="E47" s="128">
        <v>0</v>
      </c>
    </row>
    <row r="48" spans="2:5" ht="15" x14ac:dyDescent="0.25">
      <c r="B48" s="144" t="s">
        <v>429</v>
      </c>
      <c r="C48" s="138" t="s">
        <v>430</v>
      </c>
      <c r="D48" s="128">
        <v>0</v>
      </c>
      <c r="E48" s="128"/>
    </row>
    <row r="49" spans="2:5" ht="30" x14ac:dyDescent="0.25">
      <c r="B49" s="144" t="s">
        <v>431</v>
      </c>
      <c r="C49" s="138" t="s">
        <v>432</v>
      </c>
      <c r="D49" s="128">
        <v>0</v>
      </c>
      <c r="E49" s="128">
        <v>0</v>
      </c>
    </row>
    <row r="50" spans="2:5" ht="30" x14ac:dyDescent="0.25">
      <c r="B50" s="144" t="s">
        <v>433</v>
      </c>
      <c r="C50" s="138" t="s">
        <v>434</v>
      </c>
      <c r="D50" s="128">
        <v>0</v>
      </c>
      <c r="E50" s="128">
        <v>0</v>
      </c>
    </row>
    <row r="51" spans="2:5" ht="15" x14ac:dyDescent="0.25">
      <c r="B51" s="144" t="s">
        <v>435</v>
      </c>
      <c r="C51" s="138" t="s">
        <v>436</v>
      </c>
      <c r="D51" s="128">
        <v>0</v>
      </c>
      <c r="E51" s="128">
        <v>0</v>
      </c>
    </row>
    <row r="52" spans="2:5" ht="15" x14ac:dyDescent="0.25">
      <c r="B52" s="146" t="s">
        <v>437</v>
      </c>
      <c r="C52" s="147" t="s">
        <v>438</v>
      </c>
      <c r="D52" s="500">
        <f>SUM(D42:D51)</f>
        <v>0</v>
      </c>
      <c r="E52" s="500">
        <f>SUM(E42:E51)</f>
        <v>0</v>
      </c>
    </row>
    <row r="53" spans="2:5" ht="15" x14ac:dyDescent="0.25">
      <c r="B53" s="1006" t="s">
        <v>439</v>
      </c>
      <c r="C53" s="1007"/>
      <c r="D53" s="1007"/>
      <c r="E53" s="1008"/>
    </row>
    <row r="54" spans="2:5" ht="15" x14ac:dyDescent="0.25">
      <c r="B54" s="132">
        <v>23</v>
      </c>
      <c r="C54" s="148" t="s">
        <v>289</v>
      </c>
      <c r="D54" s="128">
        <f>+'2'!D10</f>
        <v>1237984.6200000001</v>
      </c>
      <c r="E54" s="128">
        <f>+'2'!E10</f>
        <v>1145176.1140000001</v>
      </c>
    </row>
    <row r="55" spans="2:5" ht="15" x14ac:dyDescent="0.25">
      <c r="B55" s="149">
        <v>24</v>
      </c>
      <c r="C55" s="150" t="s">
        <v>373</v>
      </c>
      <c r="D55" s="501">
        <f>+D15+D27+D35+D40+D52</f>
        <v>10850676</v>
      </c>
      <c r="E55" s="501">
        <f>+E15+E27+E35+E40+E52</f>
        <v>9971409</v>
      </c>
    </row>
    <row r="56" spans="2:5" ht="15" x14ac:dyDescent="0.25">
      <c r="B56" s="1006" t="s">
        <v>63</v>
      </c>
      <c r="C56" s="1007"/>
      <c r="D56" s="1007"/>
      <c r="E56" s="1008"/>
    </row>
    <row r="57" spans="2:5" ht="15" x14ac:dyDescent="0.25">
      <c r="B57" s="132">
        <v>25</v>
      </c>
      <c r="C57" s="20" t="s">
        <v>440</v>
      </c>
      <c r="D57" s="502">
        <f>+$D$54/$D$55*100</f>
        <v>11.409285651880124</v>
      </c>
      <c r="E57" s="502">
        <f>+$D$54/$D$55*100</f>
        <v>11.409285651880124</v>
      </c>
    </row>
    <row r="58" spans="2:5" ht="30" x14ac:dyDescent="0.25">
      <c r="B58" s="10" t="s">
        <v>441</v>
      </c>
      <c r="C58" s="9" t="s">
        <v>442</v>
      </c>
      <c r="D58" s="502">
        <f t="shared" ref="D58:E59" si="0">+$D$54/$D$55*100</f>
        <v>11.409285651880124</v>
      </c>
      <c r="E58" s="502">
        <f t="shared" si="0"/>
        <v>11.409285651880124</v>
      </c>
    </row>
    <row r="59" spans="2:5" ht="30" x14ac:dyDescent="0.25">
      <c r="B59" s="10" t="s">
        <v>443</v>
      </c>
      <c r="C59" s="58" t="s">
        <v>444</v>
      </c>
      <c r="D59" s="502">
        <f t="shared" si="0"/>
        <v>11.409285651880124</v>
      </c>
      <c r="E59" s="502">
        <f t="shared" si="0"/>
        <v>11.409285651880124</v>
      </c>
    </row>
    <row r="60" spans="2:5" ht="15" x14ac:dyDescent="0.25">
      <c r="B60" s="10">
        <v>26</v>
      </c>
      <c r="C60" s="9" t="s">
        <v>445</v>
      </c>
      <c r="D60" s="502">
        <v>3</v>
      </c>
      <c r="E60" s="502">
        <v>3</v>
      </c>
    </row>
    <row r="61" spans="2:5" ht="30" x14ac:dyDescent="0.25">
      <c r="B61" s="10" t="s">
        <v>446</v>
      </c>
      <c r="C61" s="9" t="s">
        <v>58</v>
      </c>
      <c r="D61" s="498">
        <v>0</v>
      </c>
      <c r="E61" s="498">
        <v>0</v>
      </c>
    </row>
    <row r="62" spans="2:5" ht="15" x14ac:dyDescent="0.25">
      <c r="B62" s="10" t="s">
        <v>447</v>
      </c>
      <c r="C62" s="9" t="s">
        <v>448</v>
      </c>
      <c r="D62" s="498">
        <v>0</v>
      </c>
      <c r="E62" s="498">
        <v>0</v>
      </c>
    </row>
    <row r="63" spans="2:5" ht="15" x14ac:dyDescent="0.25">
      <c r="B63" s="10">
        <v>27</v>
      </c>
      <c r="C63" s="58" t="s">
        <v>51</v>
      </c>
      <c r="D63" s="498">
        <v>0</v>
      </c>
      <c r="E63" s="498">
        <v>0</v>
      </c>
    </row>
    <row r="64" spans="2:5" ht="15" x14ac:dyDescent="0.25">
      <c r="B64" s="31" t="s">
        <v>449</v>
      </c>
      <c r="C64" s="58" t="s">
        <v>49</v>
      </c>
      <c r="D64" s="502">
        <f>+D60+D61+D63</f>
        <v>3</v>
      </c>
      <c r="E64" s="502">
        <f>+E60+E61+E63</f>
        <v>3</v>
      </c>
    </row>
    <row r="65" spans="2:13" ht="15" x14ac:dyDescent="0.25">
      <c r="B65" s="1003" t="s">
        <v>450</v>
      </c>
      <c r="C65" s="1004"/>
      <c r="D65" s="1004"/>
      <c r="E65" s="1005"/>
    </row>
    <row r="66" spans="2:13" ht="15" x14ac:dyDescent="0.25">
      <c r="B66" s="31" t="s">
        <v>451</v>
      </c>
      <c r="C66" s="58" t="s">
        <v>452</v>
      </c>
      <c r="D66" s="126">
        <v>0</v>
      </c>
      <c r="E66" s="126">
        <v>0</v>
      </c>
      <c r="M66" s="32"/>
    </row>
    <row r="67" spans="2:13" ht="15" x14ac:dyDescent="0.25">
      <c r="B67" s="1006" t="s">
        <v>453</v>
      </c>
      <c r="C67" s="1007"/>
      <c r="D67" s="1007"/>
      <c r="E67" s="1008"/>
    </row>
    <row r="68" spans="2:13" ht="45" x14ac:dyDescent="0.25">
      <c r="B68" s="10">
        <v>28</v>
      </c>
      <c r="C68" s="9" t="s">
        <v>454</v>
      </c>
      <c r="D68" s="128">
        <v>0</v>
      </c>
      <c r="E68" s="128">
        <v>0</v>
      </c>
      <c r="M68" s="125"/>
    </row>
    <row r="69" spans="2:13" ht="45" x14ac:dyDescent="0.25">
      <c r="B69" s="10">
        <v>29</v>
      </c>
      <c r="C69" s="9" t="s">
        <v>455</v>
      </c>
      <c r="D69" s="128">
        <f>+D29+D30</f>
        <v>0</v>
      </c>
      <c r="E69" s="128">
        <f>+E29+E30</f>
        <v>0</v>
      </c>
      <c r="M69" s="125"/>
    </row>
    <row r="70" spans="2:13" ht="75" x14ac:dyDescent="0.25">
      <c r="B70" s="31">
        <v>30</v>
      </c>
      <c r="C70" s="58" t="s">
        <v>456</v>
      </c>
      <c r="D70" s="126">
        <f>+D55-D69-D68</f>
        <v>10850676</v>
      </c>
      <c r="E70" s="126">
        <f>+E55-E69-E68</f>
        <v>9971409</v>
      </c>
      <c r="M70" s="32"/>
    </row>
    <row r="71" spans="2:13" ht="75" x14ac:dyDescent="0.25">
      <c r="B71" s="31" t="s">
        <v>457</v>
      </c>
      <c r="C71" s="58" t="s">
        <v>458</v>
      </c>
      <c r="D71" s="126">
        <f>+D55-D69+D68-'8'!D10</f>
        <v>10850676</v>
      </c>
      <c r="E71" s="126">
        <f>+E55-E69+E68-'8'!E10</f>
        <v>9971409</v>
      </c>
      <c r="M71" s="32"/>
    </row>
    <row r="72" spans="2:13" ht="75" x14ac:dyDescent="0.25">
      <c r="B72" s="10">
        <v>31</v>
      </c>
      <c r="C72" s="9" t="s">
        <v>459</v>
      </c>
      <c r="D72" s="151">
        <f>+D54/D70*100</f>
        <v>11.409285651880124</v>
      </c>
      <c r="E72" s="151">
        <f>+E54/E70*100</f>
        <v>11.484596750569553</v>
      </c>
      <c r="M72" s="125"/>
    </row>
    <row r="73" spans="2:13" ht="75" x14ac:dyDescent="0.25">
      <c r="B73" s="10" t="s">
        <v>460</v>
      </c>
      <c r="C73" s="9" t="s">
        <v>461</v>
      </c>
      <c r="D73" s="151">
        <f>+D54/D71*100</f>
        <v>11.409285651880124</v>
      </c>
      <c r="E73" s="151">
        <f>+E54/E71*100</f>
        <v>11.484596750569553</v>
      </c>
      <c r="M73" s="125"/>
    </row>
  </sheetData>
  <mergeCells count="11">
    <mergeCell ref="B36:E36"/>
    <mergeCell ref="D5:E5"/>
    <mergeCell ref="B6:C7"/>
    <mergeCell ref="B8:E8"/>
    <mergeCell ref="B16:E16"/>
    <mergeCell ref="B28:E28"/>
    <mergeCell ref="B41:E41"/>
    <mergeCell ref="B53:E53"/>
    <mergeCell ref="B56:E56"/>
    <mergeCell ref="B65:E65"/>
    <mergeCell ref="B67:E67"/>
  </mergeCells>
  <hyperlinks>
    <hyperlink ref="B2" location="Indhold!B15" display="Skema EU LR2 - LRCom Oplysninger om gearingsgrad — fælles regler" xr:uid="{2CD97A45-9591-452A-B5EE-71D9690125D6}"/>
  </hyperlinks>
  <pageMargins left="0.70866141732283472" right="0.70866141732283472" top="0.74803149606299213" bottom="0.74803149606299213" header="0.31496062992125984" footer="0.31496062992125984"/>
  <pageSetup paperSize="9" fitToHeight="0" orientation="landscape" verticalDpi="1200" r:id="rId1"/>
  <headerFooter>
    <oddHeader>&amp;CDA 
Bilag XI</oddHeader>
    <oddFooter>&amp;C1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97DC8-A496-47A1-9776-F5A28BE4B312}">
  <dimension ref="B2:F18"/>
  <sheetViews>
    <sheetView showGridLines="0" zoomScaleNormal="100" workbookViewId="0">
      <selection activeCell="F1" sqref="F1"/>
    </sheetView>
  </sheetViews>
  <sheetFormatPr defaultColWidth="9.140625" defaultRowHeight="15" x14ac:dyDescent="0.25"/>
  <cols>
    <col min="3" max="3" width="106.28515625" customWidth="1"/>
    <col min="4" max="4" width="34.85546875" customWidth="1"/>
  </cols>
  <sheetData>
    <row r="2" spans="2:6" ht="18.75" customHeight="1" x14ac:dyDescent="0.3">
      <c r="B2" s="866" t="s">
        <v>462</v>
      </c>
      <c r="C2" s="416"/>
      <c r="D2" s="416"/>
    </row>
    <row r="3" spans="2:6" ht="15" customHeight="1" x14ac:dyDescent="0.3">
      <c r="B3" s="416"/>
      <c r="C3" s="416"/>
    </row>
    <row r="4" spans="2:6" ht="15" customHeight="1" x14ac:dyDescent="0.3">
      <c r="B4" s="452"/>
      <c r="C4" s="452"/>
      <c r="D4" s="452"/>
    </row>
    <row r="5" spans="2:6" x14ac:dyDescent="0.25">
      <c r="B5" s="805"/>
      <c r="C5" s="807"/>
      <c r="D5" s="804" t="s">
        <v>1423</v>
      </c>
    </row>
    <row r="6" spans="2:6" ht="30" x14ac:dyDescent="0.25">
      <c r="B6" s="806"/>
      <c r="C6" s="808"/>
      <c r="D6" s="804" t="s">
        <v>375</v>
      </c>
    </row>
    <row r="7" spans="2:6" x14ac:dyDescent="0.25">
      <c r="B7" s="503" t="s">
        <v>463</v>
      </c>
      <c r="C7" s="503" t="s">
        <v>464</v>
      </c>
      <c r="D7" s="504">
        <f>+D8+D9</f>
        <v>9666959</v>
      </c>
    </row>
    <row r="8" spans="2:6" x14ac:dyDescent="0.25">
      <c r="B8" s="137" t="s">
        <v>465</v>
      </c>
      <c r="C8" s="152" t="s">
        <v>466</v>
      </c>
      <c r="D8" s="126">
        <v>3406674</v>
      </c>
    </row>
    <row r="9" spans="2:6" x14ac:dyDescent="0.25">
      <c r="B9" s="137" t="s">
        <v>467</v>
      </c>
      <c r="C9" s="152" t="s">
        <v>468</v>
      </c>
      <c r="D9" s="153">
        <f>+D10+D11+D12+D13+D14+D15+D16+D17+D18</f>
        <v>6260285</v>
      </c>
      <c r="F9" s="353"/>
    </row>
    <row r="10" spans="2:6" x14ac:dyDescent="0.25">
      <c r="B10" s="137" t="s">
        <v>469</v>
      </c>
      <c r="C10" s="152" t="s">
        <v>470</v>
      </c>
      <c r="D10" s="153">
        <v>0</v>
      </c>
    </row>
    <row r="11" spans="2:6" x14ac:dyDescent="0.25">
      <c r="B11" s="137" t="s">
        <v>471</v>
      </c>
      <c r="C11" s="152" t="s">
        <v>472</v>
      </c>
      <c r="D11" s="153">
        <v>770405</v>
      </c>
    </row>
    <row r="12" spans="2:6" ht="30" x14ac:dyDescent="0.25">
      <c r="B12" s="137" t="s">
        <v>473</v>
      </c>
      <c r="C12" s="154" t="s">
        <v>474</v>
      </c>
      <c r="D12" s="153">
        <v>0</v>
      </c>
    </row>
    <row r="13" spans="2:6" x14ac:dyDescent="0.25">
      <c r="B13" s="137" t="s">
        <v>475</v>
      </c>
      <c r="C13" s="152" t="s">
        <v>476</v>
      </c>
      <c r="D13" s="153">
        <v>142836</v>
      </c>
    </row>
    <row r="14" spans="2:6" x14ac:dyDescent="0.25">
      <c r="B14" s="137" t="s">
        <v>477</v>
      </c>
      <c r="C14" s="152" t="s">
        <v>478</v>
      </c>
      <c r="D14" s="153">
        <v>1200121</v>
      </c>
    </row>
    <row r="15" spans="2:6" x14ac:dyDescent="0.25">
      <c r="B15" s="137" t="s">
        <v>479</v>
      </c>
      <c r="C15" s="152" t="s">
        <v>480</v>
      </c>
      <c r="D15" s="153">
        <f>1311169+6553</f>
        <v>1317722</v>
      </c>
    </row>
    <row r="16" spans="2:6" x14ac:dyDescent="0.25">
      <c r="B16" s="137" t="s">
        <v>481</v>
      </c>
      <c r="C16" s="154" t="s">
        <v>482</v>
      </c>
      <c r="D16" s="153">
        <v>1280387</v>
      </c>
    </row>
    <row r="17" spans="2:4" x14ac:dyDescent="0.25">
      <c r="B17" s="137" t="s">
        <v>483</v>
      </c>
      <c r="C17" s="152" t="s">
        <v>484</v>
      </c>
      <c r="D17" s="153">
        <v>242118</v>
      </c>
    </row>
    <row r="18" spans="2:4" x14ac:dyDescent="0.25">
      <c r="B18" s="137" t="s">
        <v>485</v>
      </c>
      <c r="C18" s="152" t="s">
        <v>486</v>
      </c>
      <c r="D18" s="153">
        <v>1306696</v>
      </c>
    </row>
  </sheetData>
  <hyperlinks>
    <hyperlink ref="B2" location="Indhold!B16" display="Skema EU LR3 - LRSpl: Opdeling af balanceførte eksponeringer (ekskl. derivater, SFT'er og ikke medregnede eksponeringer)" xr:uid="{914E9381-12CF-4ED6-B9AA-DF39B7018DC6}"/>
  </hyperlinks>
  <pageMargins left="0.70866141732283472" right="0.70866141732283472" top="0.74803149606299213" bottom="0.74803149606299213" header="0.31496062992125984" footer="0.31496062992125984"/>
  <pageSetup paperSize="9" orientation="landscape" verticalDpi="1200" r:id="rId1"/>
  <headerFooter>
    <oddHeader>&amp;CDA 
Bilag XI</oddHeader>
    <oddFooter>&amp;C1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0D3AF-1543-44FB-A037-DEF7B736506F}">
  <dimension ref="A2:K47"/>
  <sheetViews>
    <sheetView showGridLines="0" zoomScaleNormal="100" workbookViewId="0">
      <selection activeCell="F1" sqref="F1"/>
    </sheetView>
  </sheetViews>
  <sheetFormatPr defaultColWidth="9.140625" defaultRowHeight="15" x14ac:dyDescent="0.25"/>
  <cols>
    <col min="1" max="1" width="6.42578125" customWidth="1"/>
    <col min="2" max="2" width="10.28515625" customWidth="1"/>
    <col min="3" max="3" width="55.140625" customWidth="1"/>
    <col min="4" max="4" width="11" bestFit="1" customWidth="1"/>
    <col min="5" max="5" width="10.140625" customWidth="1"/>
    <col min="6" max="11" width="11" bestFit="1" customWidth="1"/>
  </cols>
  <sheetData>
    <row r="2" spans="1:11" ht="18.75" x14ac:dyDescent="0.3">
      <c r="B2" s="416" t="s">
        <v>487</v>
      </c>
    </row>
    <row r="3" spans="1:11" ht="15" customHeight="1" x14ac:dyDescent="0.25">
      <c r="A3" s="155"/>
    </row>
    <row r="4" spans="1:11" ht="15" customHeight="1" x14ac:dyDescent="0.25">
      <c r="A4" s="155"/>
      <c r="C4" s="156"/>
    </row>
    <row r="5" spans="1:11" x14ac:dyDescent="0.25">
      <c r="B5" s="1039" t="s">
        <v>1423</v>
      </c>
      <c r="C5" s="1040"/>
      <c r="D5" s="506" t="s">
        <v>103</v>
      </c>
      <c r="E5" s="506" t="s">
        <v>102</v>
      </c>
      <c r="F5" s="506" t="s">
        <v>97</v>
      </c>
      <c r="G5" s="506" t="s">
        <v>96</v>
      </c>
      <c r="H5" s="506" t="s">
        <v>95</v>
      </c>
      <c r="I5" s="506" t="s">
        <v>111</v>
      </c>
      <c r="J5" s="506" t="s">
        <v>112</v>
      </c>
      <c r="K5" s="506" t="s">
        <v>164</v>
      </c>
    </row>
    <row r="6" spans="1:11" x14ac:dyDescent="0.25">
      <c r="B6" s="1041"/>
      <c r="C6" s="1042"/>
      <c r="D6" s="971" t="s">
        <v>488</v>
      </c>
      <c r="E6" s="971"/>
      <c r="F6" s="971"/>
      <c r="G6" s="971"/>
      <c r="H6" s="971" t="s">
        <v>489</v>
      </c>
      <c r="I6" s="971"/>
      <c r="J6" s="971"/>
      <c r="K6" s="971"/>
    </row>
    <row r="7" spans="1:11" ht="30" x14ac:dyDescent="0.25">
      <c r="B7" s="466" t="s">
        <v>490</v>
      </c>
      <c r="C7" s="466" t="s">
        <v>491</v>
      </c>
      <c r="D7" s="464" t="s">
        <v>1589</v>
      </c>
      <c r="E7" s="464" t="s">
        <v>1590</v>
      </c>
      <c r="F7" s="464" t="s">
        <v>1591</v>
      </c>
      <c r="G7" s="464" t="s">
        <v>1592</v>
      </c>
      <c r="H7" s="464" t="s">
        <v>1589</v>
      </c>
      <c r="I7" s="464" t="s">
        <v>1590</v>
      </c>
      <c r="J7" s="464" t="s">
        <v>1591</v>
      </c>
      <c r="K7" s="464" t="s">
        <v>1592</v>
      </c>
    </row>
    <row r="8" spans="1:11" ht="30" x14ac:dyDescent="0.25">
      <c r="B8" s="466" t="s">
        <v>492</v>
      </c>
      <c r="C8" s="466" t="s">
        <v>493</v>
      </c>
      <c r="D8" s="507">
        <v>12</v>
      </c>
      <c r="E8" s="507">
        <v>12</v>
      </c>
      <c r="F8" s="507">
        <v>12</v>
      </c>
      <c r="G8" s="507">
        <v>12</v>
      </c>
      <c r="H8" s="507">
        <v>12</v>
      </c>
      <c r="I8" s="507">
        <v>12</v>
      </c>
      <c r="J8" s="507">
        <v>12</v>
      </c>
      <c r="K8" s="507">
        <v>12</v>
      </c>
    </row>
    <row r="9" spans="1:11" x14ac:dyDescent="0.25">
      <c r="B9" s="1032" t="s">
        <v>494</v>
      </c>
      <c r="C9" s="1033"/>
      <c r="D9" s="1033"/>
      <c r="E9" s="1033"/>
      <c r="F9" s="1033"/>
      <c r="G9" s="1033"/>
      <c r="H9" s="1033"/>
      <c r="I9" s="1033"/>
      <c r="J9" s="1033"/>
      <c r="K9" s="1034"/>
    </row>
    <row r="10" spans="1:11" x14ac:dyDescent="0.25">
      <c r="B10" s="140">
        <v>1</v>
      </c>
      <c r="C10" s="137" t="s">
        <v>495</v>
      </c>
      <c r="D10" s="1035"/>
      <c r="E10" s="1035"/>
      <c r="F10" s="1035"/>
      <c r="G10" s="1035"/>
      <c r="H10" s="157">
        <f>3757403336/1000</f>
        <v>3757403.3360000001</v>
      </c>
      <c r="I10" s="157">
        <f>3614581162/1000</f>
        <v>3614581.162</v>
      </c>
      <c r="J10" s="157">
        <f>3642685884/1000</f>
        <v>3642685.8840000001</v>
      </c>
      <c r="K10" s="157">
        <f>3083769500/1000</f>
        <v>3083769.5</v>
      </c>
    </row>
    <row r="11" spans="1:11" x14ac:dyDescent="0.25">
      <c r="B11" s="1036" t="s">
        <v>496</v>
      </c>
      <c r="C11" s="1037"/>
      <c r="D11" s="1037"/>
      <c r="E11" s="1037"/>
      <c r="F11" s="1037"/>
      <c r="G11" s="1037"/>
      <c r="H11" s="1037"/>
      <c r="I11" s="1037"/>
      <c r="J11" s="1037"/>
      <c r="K11" s="1038"/>
    </row>
    <row r="12" spans="1:11" x14ac:dyDescent="0.25">
      <c r="B12" s="140">
        <v>2</v>
      </c>
      <c r="C12" s="137" t="s">
        <v>497</v>
      </c>
      <c r="D12" s="157">
        <f>6539329544/1000</f>
        <v>6539329.5439999998</v>
      </c>
      <c r="E12" s="157">
        <f>6466431077/1000</f>
        <v>6466431.0769999996</v>
      </c>
      <c r="F12" s="157">
        <f>6426627103/1000</f>
        <v>6426627.1030000001</v>
      </c>
      <c r="G12" s="157">
        <f>6160377146/1000</f>
        <v>6160377.1459999997</v>
      </c>
      <c r="H12" s="157">
        <f>392016422/1000</f>
        <v>392016.42200000002</v>
      </c>
      <c r="I12" s="157">
        <f>471637216/1000</f>
        <v>471637.21600000001</v>
      </c>
      <c r="J12" s="157">
        <f>395679690/1000</f>
        <v>395679.69</v>
      </c>
      <c r="K12" s="157">
        <f>311078961/1000</f>
        <v>311078.96100000001</v>
      </c>
    </row>
    <row r="13" spans="1:11" x14ac:dyDescent="0.25">
      <c r="B13" s="140">
        <v>3</v>
      </c>
      <c r="C13" s="158" t="s">
        <v>498</v>
      </c>
      <c r="D13" s="157">
        <f>3837711336/1000</f>
        <v>3837711.3360000001</v>
      </c>
      <c r="E13" s="157">
        <f>3737826221/1000</f>
        <v>3737826.2209999999</v>
      </c>
      <c r="F13" s="157">
        <f>4504915903/1000</f>
        <v>4504915.9029999999</v>
      </c>
      <c r="G13" s="157">
        <f>3538600635/1000</f>
        <v>3538600.6349999998</v>
      </c>
      <c r="H13" s="157">
        <f>191885566/1000</f>
        <v>191885.56599999999</v>
      </c>
      <c r="I13" s="157">
        <f>186891311/1000</f>
        <v>186891.31099999999</v>
      </c>
      <c r="J13" s="157">
        <f>225245795/1000</f>
        <v>225245.79500000001</v>
      </c>
      <c r="K13" s="157">
        <f>176930032/1000</f>
        <v>176930.03200000001</v>
      </c>
    </row>
    <row r="14" spans="1:11" x14ac:dyDescent="0.25">
      <c r="B14" s="140">
        <v>4</v>
      </c>
      <c r="C14" s="158" t="s">
        <v>499</v>
      </c>
      <c r="D14" s="157">
        <f>(315805253+928487388)/1000</f>
        <v>1244292.6410000001</v>
      </c>
      <c r="E14" s="157">
        <f>(278260455+923608101)/1000</f>
        <v>1201868.5560000001</v>
      </c>
      <c r="F14" s="157">
        <f>(265483786+892563213)/1000</f>
        <v>1158046.9990000001</v>
      </c>
      <c r="G14" s="157">
        <f>(322768529+857333919)/1000</f>
        <v>1180102.4480000001</v>
      </c>
      <c r="H14" s="157">
        <f>(47370788+92848738)/1000</f>
        <v>140219.52600000001</v>
      </c>
      <c r="I14" s="157">
        <f>(41739068+92360810)/1000</f>
        <v>134099.878</v>
      </c>
      <c r="J14" s="157">
        <f>(39822568+89256321)/1000</f>
        <v>129078.889</v>
      </c>
      <c r="K14" s="157">
        <f>(48415279+85733392)/1000</f>
        <v>134148.671</v>
      </c>
    </row>
    <row r="15" spans="1:11" x14ac:dyDescent="0.25">
      <c r="B15" s="140">
        <v>5</v>
      </c>
      <c r="C15" s="137" t="s">
        <v>500</v>
      </c>
      <c r="D15" s="157">
        <f>1465482652/1000</f>
        <v>1465482.652</v>
      </c>
      <c r="E15" s="157">
        <f>1262278932/1000</f>
        <v>1262278.932</v>
      </c>
      <c r="F15" s="157">
        <f>1469949162/1000</f>
        <v>1469949.162</v>
      </c>
      <c r="G15" s="157">
        <f>1175969072/1000</f>
        <v>1175969.0719999999</v>
      </c>
      <c r="H15" s="157">
        <f>708988679/1000</f>
        <v>708988.679</v>
      </c>
      <c r="I15" s="157">
        <f>628850347/1000</f>
        <v>628850.34699999995</v>
      </c>
      <c r="J15" s="157">
        <f>700831345/1000</f>
        <v>700831.34499999997</v>
      </c>
      <c r="K15" s="157">
        <f>564425121/1000</f>
        <v>564425.12100000004</v>
      </c>
    </row>
    <row r="16" spans="1:11" ht="30" x14ac:dyDescent="0.25">
      <c r="B16" s="140">
        <v>6</v>
      </c>
      <c r="C16" s="158" t="s">
        <v>501</v>
      </c>
      <c r="D16" s="157">
        <v>0</v>
      </c>
      <c r="E16" s="157">
        <v>0</v>
      </c>
      <c r="F16" s="157">
        <v>0</v>
      </c>
      <c r="G16" s="157">
        <v>0</v>
      </c>
      <c r="H16" s="157">
        <v>0</v>
      </c>
      <c r="I16" s="157">
        <v>0</v>
      </c>
      <c r="J16" s="157">
        <v>0</v>
      </c>
      <c r="K16" s="157">
        <v>0</v>
      </c>
    </row>
    <row r="17" spans="2:11" x14ac:dyDescent="0.25">
      <c r="B17" s="140">
        <v>7</v>
      </c>
      <c r="C17" s="158" t="s">
        <v>502</v>
      </c>
      <c r="D17" s="870">
        <f>1465482652/1000</f>
        <v>1465482.652</v>
      </c>
      <c r="E17" s="917">
        <f>1262278932/1000</f>
        <v>1262278.932</v>
      </c>
      <c r="F17" s="917">
        <f>1469949162/1000</f>
        <v>1469949.162</v>
      </c>
      <c r="G17" s="917">
        <f>1175969072/1000</f>
        <v>1175969.0719999999</v>
      </c>
      <c r="H17" s="909">
        <f>708988679/1000</f>
        <v>708988.679</v>
      </c>
      <c r="I17" s="917">
        <f>628850347/1000</f>
        <v>628850.34699999995</v>
      </c>
      <c r="J17" s="917">
        <f>700831345/1000</f>
        <v>700831.34499999997</v>
      </c>
      <c r="K17" s="917">
        <f>564425121/1000</f>
        <v>564425.12100000004</v>
      </c>
    </row>
    <row r="18" spans="2:11" x14ac:dyDescent="0.25">
      <c r="B18" s="140">
        <v>8</v>
      </c>
      <c r="C18" s="158" t="s">
        <v>503</v>
      </c>
      <c r="D18" s="157">
        <v>0</v>
      </c>
      <c r="E18" s="157">
        <v>0</v>
      </c>
      <c r="F18" s="157">
        <v>0</v>
      </c>
      <c r="G18" s="157">
        <v>0</v>
      </c>
      <c r="H18" s="157">
        <v>0</v>
      </c>
      <c r="I18" s="157">
        <v>0</v>
      </c>
      <c r="J18" s="157">
        <v>0</v>
      </c>
      <c r="K18" s="157">
        <v>0</v>
      </c>
    </row>
    <row r="19" spans="2:11" x14ac:dyDescent="0.25">
      <c r="B19" s="140">
        <v>9</v>
      </c>
      <c r="C19" s="158" t="s">
        <v>504</v>
      </c>
      <c r="D19" s="1031"/>
      <c r="E19" s="1031"/>
      <c r="F19" s="1031"/>
      <c r="G19" s="1031"/>
      <c r="H19" s="159">
        <v>0</v>
      </c>
      <c r="I19" s="159">
        <v>0</v>
      </c>
      <c r="J19" s="159">
        <v>0</v>
      </c>
      <c r="K19" s="159">
        <v>0</v>
      </c>
    </row>
    <row r="20" spans="2:11" x14ac:dyDescent="0.25">
      <c r="B20" s="140">
        <v>10</v>
      </c>
      <c r="C20" s="137" t="s">
        <v>505</v>
      </c>
      <c r="D20" s="157">
        <f>(33854+2625242843)/1000</f>
        <v>2625276.6970000002</v>
      </c>
      <c r="E20" s="157">
        <f>(72409+2595281784)/1000</f>
        <v>2595354.193</v>
      </c>
      <c r="F20" s="157">
        <f>(496+2518992354)/1000</f>
        <v>2518992.85</v>
      </c>
      <c r="G20" s="157">
        <f>(581577+2605922309)/1000</f>
        <v>2606503.8859999999</v>
      </c>
      <c r="H20" s="157">
        <f>(33854+162920206)/1000</f>
        <v>162954.06</v>
      </c>
      <c r="I20" s="157">
        <f>(72409+160257218)/1000</f>
        <v>160329.62700000001</v>
      </c>
      <c r="J20" s="157">
        <f>(496+237905853)/1000</f>
        <v>237906.34899999999</v>
      </c>
      <c r="K20" s="157">
        <f>(581577+178696116)/1000</f>
        <v>179277.693</v>
      </c>
    </row>
    <row r="21" spans="2:11" ht="30" x14ac:dyDescent="0.25">
      <c r="B21" s="140">
        <v>11</v>
      </c>
      <c r="C21" s="158" t="s">
        <v>506</v>
      </c>
      <c r="D21" s="157">
        <f>33854/1000</f>
        <v>33.853999999999999</v>
      </c>
      <c r="E21" s="157">
        <f>72409/1000</f>
        <v>72.409000000000006</v>
      </c>
      <c r="F21" s="157">
        <v>0.496</v>
      </c>
      <c r="G21" s="157">
        <f>581577/1000</f>
        <v>581.577</v>
      </c>
      <c r="H21" s="157">
        <f>33854/1000</f>
        <v>33.853999999999999</v>
      </c>
      <c r="I21" s="157">
        <f>72409/1000</f>
        <v>72.409000000000006</v>
      </c>
      <c r="J21" s="157">
        <v>0.496</v>
      </c>
      <c r="K21" s="157">
        <f>581577/1000</f>
        <v>581.577</v>
      </c>
    </row>
    <row r="22" spans="2:11" ht="30" x14ac:dyDescent="0.25">
      <c r="B22" s="140">
        <v>12</v>
      </c>
      <c r="C22" s="158" t="s">
        <v>507</v>
      </c>
      <c r="D22" s="157">
        <v>0</v>
      </c>
      <c r="E22" s="157">
        <v>0</v>
      </c>
      <c r="F22" s="157">
        <v>0</v>
      </c>
      <c r="G22" s="157">
        <v>0</v>
      </c>
      <c r="H22" s="157">
        <v>0</v>
      </c>
      <c r="I22" s="157">
        <v>0</v>
      </c>
      <c r="J22" s="157">
        <v>0</v>
      </c>
      <c r="K22" s="157">
        <v>0</v>
      </c>
    </row>
    <row r="23" spans="2:11" x14ac:dyDescent="0.25">
      <c r="B23" s="140">
        <v>13</v>
      </c>
      <c r="C23" s="158" t="s">
        <v>508</v>
      </c>
      <c r="D23" s="157">
        <f>2625242843/1000</f>
        <v>2625242.8429999999</v>
      </c>
      <c r="E23" s="870">
        <f>2595281784/1000</f>
        <v>2595281.784</v>
      </c>
      <c r="F23" s="157">
        <f>2518992354/1000</f>
        <v>2518992.3539999998</v>
      </c>
      <c r="G23" s="870">
        <f>2605922309/1000</f>
        <v>2605922.3089999999</v>
      </c>
      <c r="H23" s="157">
        <f>162920206/1000</f>
        <v>162920.20600000001</v>
      </c>
      <c r="I23" s="870">
        <f>160257218/1000</f>
        <v>160257.21799999999</v>
      </c>
      <c r="J23" s="157">
        <f>237905853/1000</f>
        <v>237905.853</v>
      </c>
      <c r="K23" s="870">
        <f>178696116/1000</f>
        <v>178696.11600000001</v>
      </c>
    </row>
    <row r="24" spans="2:11" x14ac:dyDescent="0.25">
      <c r="B24" s="140">
        <v>14</v>
      </c>
      <c r="C24" s="137" t="s">
        <v>509</v>
      </c>
      <c r="D24" s="157">
        <f>30150262/1000</f>
        <v>30150.261999999999</v>
      </c>
      <c r="E24" s="157">
        <f>85055184/1000</f>
        <v>85055.183999999994</v>
      </c>
      <c r="F24" s="157">
        <f>39705048/1000</f>
        <v>39705.048000000003</v>
      </c>
      <c r="G24" s="157">
        <f>36680973/1000</f>
        <v>36680.972999999998</v>
      </c>
      <c r="H24" s="157">
        <f>30150262/1000</f>
        <v>30150.261999999999</v>
      </c>
      <c r="I24" s="157">
        <f>85055184/1000</f>
        <v>85055.183999999994</v>
      </c>
      <c r="J24" s="157">
        <f>39704048/1000</f>
        <v>39704.048000000003</v>
      </c>
      <c r="K24" s="157">
        <f>36680973/1000</f>
        <v>36680.972999999998</v>
      </c>
    </row>
    <row r="25" spans="2:11" x14ac:dyDescent="0.25">
      <c r="B25" s="140">
        <v>15</v>
      </c>
      <c r="C25" s="137" t="s">
        <v>510</v>
      </c>
      <c r="D25" s="157">
        <v>0</v>
      </c>
      <c r="E25" s="157">
        <v>0</v>
      </c>
      <c r="F25" s="157">
        <v>0</v>
      </c>
      <c r="G25" s="157">
        <v>0</v>
      </c>
      <c r="H25" s="157">
        <v>0</v>
      </c>
      <c r="I25" s="157">
        <v>0</v>
      </c>
      <c r="J25" s="157">
        <v>0</v>
      </c>
      <c r="K25" s="157">
        <v>0</v>
      </c>
    </row>
    <row r="26" spans="2:11" x14ac:dyDescent="0.25">
      <c r="B26" s="140">
        <v>16</v>
      </c>
      <c r="C26" s="137" t="s">
        <v>511</v>
      </c>
      <c r="D26" s="1029"/>
      <c r="E26" s="1029"/>
      <c r="F26" s="1029"/>
      <c r="G26" s="1029"/>
      <c r="H26" s="157">
        <f>1294109426/1000</f>
        <v>1294109.426</v>
      </c>
      <c r="I26" s="157">
        <f>1345872376/1000</f>
        <v>1345872.3759999999</v>
      </c>
      <c r="J26" s="157">
        <f>1374121433/1000</f>
        <v>1374121.433</v>
      </c>
      <c r="K26" s="157">
        <f>1091462749/1000</f>
        <v>1091462.7490000001</v>
      </c>
    </row>
    <row r="27" spans="2:11" x14ac:dyDescent="0.25">
      <c r="B27" s="1030"/>
      <c r="C27" s="1030"/>
      <c r="D27" s="1030"/>
      <c r="E27" s="1030"/>
      <c r="F27" s="1030"/>
      <c r="G27" s="1030"/>
      <c r="H27" s="1030"/>
      <c r="I27" s="1030"/>
      <c r="J27" s="1030"/>
      <c r="K27" s="1030"/>
    </row>
    <row r="28" spans="2:11" x14ac:dyDescent="0.25">
      <c r="B28" s="140">
        <v>17</v>
      </c>
      <c r="C28" s="137" t="s">
        <v>512</v>
      </c>
      <c r="D28" s="157">
        <v>0</v>
      </c>
      <c r="E28" s="157">
        <v>0</v>
      </c>
      <c r="F28" s="157">
        <v>0</v>
      </c>
      <c r="G28" s="157">
        <v>0</v>
      </c>
      <c r="H28" s="157">
        <v>0</v>
      </c>
      <c r="I28" s="157">
        <v>0</v>
      </c>
      <c r="J28" s="157">
        <v>0</v>
      </c>
      <c r="K28" s="157">
        <v>0</v>
      </c>
    </row>
    <row r="29" spans="2:11" ht="30" x14ac:dyDescent="0.25">
      <c r="B29" s="140">
        <v>18</v>
      </c>
      <c r="C29" s="137" t="s">
        <v>513</v>
      </c>
      <c r="D29" s="157">
        <f>(8920593+105948297)/1000</f>
        <v>114868.89</v>
      </c>
      <c r="E29" s="157">
        <f>(8935098+101461159)/1000</f>
        <v>110396.257</v>
      </c>
      <c r="F29" s="157">
        <f>(8901724+140551939)/1000</f>
        <v>149453.663</v>
      </c>
      <c r="G29" s="157">
        <f>(13666583+109624313)/1000</f>
        <v>123290.89599999999</v>
      </c>
      <c r="H29" s="157">
        <f>(4460296+105948297)/1000</f>
        <v>110408.59299999999</v>
      </c>
      <c r="I29" s="157">
        <f>+(4467549+101461159)/1000</f>
        <v>105928.708</v>
      </c>
      <c r="J29" s="157">
        <f>(4450862+140551939)/1000</f>
        <v>145002.80100000001</v>
      </c>
      <c r="K29" s="157">
        <f>(6833291+109624313)/1000</f>
        <v>116457.60400000001</v>
      </c>
    </row>
    <row r="30" spans="2:11" x14ac:dyDescent="0.25">
      <c r="B30" s="140">
        <v>19</v>
      </c>
      <c r="C30" s="137" t="s">
        <v>514</v>
      </c>
      <c r="D30" s="157">
        <f>(119176775+807854265+1313508+30791269)/1000</f>
        <v>959135.81700000004</v>
      </c>
      <c r="E30" s="157">
        <f>+(866191895+103762977)/1000</f>
        <v>969954.87199999997</v>
      </c>
      <c r="F30" s="157">
        <f>(821682152+52812475+1055815+39569196)/1000</f>
        <v>915119.63800000004</v>
      </c>
      <c r="G30" s="157">
        <f>(924986000+856+56652642)/1000</f>
        <v>981639.49800000002</v>
      </c>
      <c r="H30" s="157">
        <f>(119176775+161570853+1313508+30791269)/1000</f>
        <v>312852.40500000003</v>
      </c>
      <c r="I30" s="157">
        <f>(173238379+103762977)/1000</f>
        <v>277001.35600000003</v>
      </c>
      <c r="J30" s="157">
        <f>(164336430+52812475+1055815+39569196)/1000</f>
        <v>257773.916</v>
      </c>
      <c r="K30" s="157">
        <f>(184997200+856+56652642)/1000</f>
        <v>241650.698</v>
      </c>
    </row>
    <row r="31" spans="2:11" x14ac:dyDescent="0.25">
      <c r="B31" s="1026" t="s">
        <v>515</v>
      </c>
      <c r="C31" s="1028" t="s">
        <v>516</v>
      </c>
      <c r="D31" s="1029"/>
      <c r="E31" s="1029"/>
      <c r="F31" s="1029"/>
      <c r="G31" s="1029"/>
      <c r="H31" s="1025">
        <v>0</v>
      </c>
      <c r="I31" s="1025">
        <v>0</v>
      </c>
      <c r="J31" s="1025">
        <v>0</v>
      </c>
      <c r="K31" s="1025">
        <v>0</v>
      </c>
    </row>
    <row r="32" spans="2:11" x14ac:dyDescent="0.25">
      <c r="B32" s="1026"/>
      <c r="C32" s="1028"/>
      <c r="D32" s="1029"/>
      <c r="E32" s="1029"/>
      <c r="F32" s="1029"/>
      <c r="G32" s="1029"/>
      <c r="H32" s="1025"/>
      <c r="I32" s="1025"/>
      <c r="J32" s="1025"/>
      <c r="K32" s="1025"/>
    </row>
    <row r="33" spans="2:11" x14ac:dyDescent="0.25">
      <c r="B33" s="1026" t="s">
        <v>517</v>
      </c>
      <c r="C33" s="1028" t="s">
        <v>518</v>
      </c>
      <c r="D33" s="1029"/>
      <c r="E33" s="1029"/>
      <c r="F33" s="1029"/>
      <c r="G33" s="1029"/>
      <c r="H33" s="1025">
        <v>0</v>
      </c>
      <c r="I33" s="1025">
        <v>0</v>
      </c>
      <c r="J33" s="1025">
        <v>0</v>
      </c>
      <c r="K33" s="1025">
        <v>0</v>
      </c>
    </row>
    <row r="34" spans="2:11" x14ac:dyDescent="0.25">
      <c r="B34" s="1026"/>
      <c r="C34" s="1028"/>
      <c r="D34" s="1029"/>
      <c r="E34" s="1029"/>
      <c r="F34" s="1029"/>
      <c r="G34" s="1029"/>
      <c r="H34" s="1025"/>
      <c r="I34" s="1025"/>
      <c r="J34" s="1025"/>
      <c r="K34" s="1025"/>
    </row>
    <row r="35" spans="2:11" x14ac:dyDescent="0.25">
      <c r="B35" s="140">
        <v>20</v>
      </c>
      <c r="C35" s="137" t="s">
        <v>519</v>
      </c>
      <c r="D35" s="157">
        <f>+D29+D30</f>
        <v>1074004.7069999999</v>
      </c>
      <c r="E35" s="157">
        <f t="shared" ref="E35:K35" si="0">+E29+E30</f>
        <v>1080351.129</v>
      </c>
      <c r="F35" s="157">
        <f t="shared" si="0"/>
        <v>1064573.301</v>
      </c>
      <c r="G35" s="157">
        <f t="shared" si="0"/>
        <v>1104930.3940000001</v>
      </c>
      <c r="H35" s="157">
        <f t="shared" si="0"/>
        <v>423260.99800000002</v>
      </c>
      <c r="I35" s="157">
        <f t="shared" si="0"/>
        <v>382930.06400000001</v>
      </c>
      <c r="J35" s="157">
        <f t="shared" si="0"/>
        <v>402776.717</v>
      </c>
      <c r="K35" s="157">
        <f t="shared" si="0"/>
        <v>358108.30200000003</v>
      </c>
    </row>
    <row r="36" spans="2:11" x14ac:dyDescent="0.25">
      <c r="B36" s="1026" t="s">
        <v>225</v>
      </c>
      <c r="C36" s="1027" t="s">
        <v>520</v>
      </c>
      <c r="D36" s="1025">
        <v>0</v>
      </c>
      <c r="E36" s="1025">
        <v>0</v>
      </c>
      <c r="F36" s="1025">
        <v>0</v>
      </c>
      <c r="G36" s="1025">
        <v>0</v>
      </c>
      <c r="H36" s="1025">
        <v>0</v>
      </c>
      <c r="I36" s="1025">
        <v>0</v>
      </c>
      <c r="J36" s="1025">
        <v>0</v>
      </c>
      <c r="K36" s="1025">
        <v>0</v>
      </c>
    </row>
    <row r="37" spans="2:11" x14ac:dyDescent="0.25">
      <c r="B37" s="1026"/>
      <c r="C37" s="1027"/>
      <c r="D37" s="1025"/>
      <c r="E37" s="1025"/>
      <c r="F37" s="1025"/>
      <c r="G37" s="1025"/>
      <c r="H37" s="1025"/>
      <c r="I37" s="1025"/>
      <c r="J37" s="1025"/>
      <c r="K37" s="1025"/>
    </row>
    <row r="38" spans="2:11" x14ac:dyDescent="0.25">
      <c r="B38" s="1026" t="s">
        <v>227</v>
      </c>
      <c r="C38" s="1027" t="s">
        <v>521</v>
      </c>
      <c r="D38" s="1025">
        <v>0</v>
      </c>
      <c r="E38" s="1025">
        <v>0</v>
      </c>
      <c r="F38" s="1025">
        <v>0</v>
      </c>
      <c r="G38" s="1025">
        <v>0</v>
      </c>
      <c r="H38" s="1025">
        <v>0</v>
      </c>
      <c r="I38" s="1025">
        <v>0</v>
      </c>
      <c r="J38" s="1025">
        <v>0</v>
      </c>
      <c r="K38" s="1025">
        <v>0</v>
      </c>
    </row>
    <row r="39" spans="2:11" x14ac:dyDescent="0.25">
      <c r="B39" s="1026"/>
      <c r="C39" s="1027"/>
      <c r="D39" s="1025"/>
      <c r="E39" s="1025"/>
      <c r="F39" s="1025"/>
      <c r="G39" s="1025"/>
      <c r="H39" s="1025"/>
      <c r="I39" s="1025"/>
      <c r="J39" s="1025"/>
      <c r="K39" s="1025"/>
    </row>
    <row r="40" spans="2:11" x14ac:dyDescent="0.25">
      <c r="B40" s="1026" t="s">
        <v>229</v>
      </c>
      <c r="C40" s="1027" t="s">
        <v>522</v>
      </c>
      <c r="D40" s="1025">
        <f>+D35</f>
        <v>1074004.7069999999</v>
      </c>
      <c r="E40" s="1025">
        <f>+E35</f>
        <v>1080351.129</v>
      </c>
      <c r="F40" s="1025">
        <f>+F35</f>
        <v>1064573.301</v>
      </c>
      <c r="G40" s="1025">
        <f t="shared" ref="G40:K40" si="1">+G35</f>
        <v>1104930.3940000001</v>
      </c>
      <c r="H40" s="1025">
        <f t="shared" si="1"/>
        <v>423260.99800000002</v>
      </c>
      <c r="I40" s="1025">
        <f t="shared" si="1"/>
        <v>382930.06400000001</v>
      </c>
      <c r="J40" s="1025">
        <f t="shared" si="1"/>
        <v>402776.717</v>
      </c>
      <c r="K40" s="1025">
        <f t="shared" si="1"/>
        <v>358108.30200000003</v>
      </c>
    </row>
    <row r="41" spans="2:11" x14ac:dyDescent="0.25">
      <c r="B41" s="1026"/>
      <c r="C41" s="1027"/>
      <c r="D41" s="1025"/>
      <c r="E41" s="1025"/>
      <c r="F41" s="1025"/>
      <c r="G41" s="1025"/>
      <c r="H41" s="1025"/>
      <c r="I41" s="1025"/>
      <c r="J41" s="1025"/>
      <c r="K41" s="1025"/>
    </row>
    <row r="42" spans="2:11" x14ac:dyDescent="0.25">
      <c r="B42" s="1021" t="s">
        <v>523</v>
      </c>
      <c r="C42" s="1022"/>
      <c r="D42" s="1022"/>
      <c r="E42" s="1022"/>
      <c r="F42" s="1022"/>
      <c r="G42" s="1022"/>
      <c r="H42" s="1022"/>
      <c r="I42" s="1022"/>
      <c r="J42" s="1022"/>
      <c r="K42" s="1023"/>
    </row>
    <row r="43" spans="2:11" x14ac:dyDescent="0.25">
      <c r="B43" s="160" t="s">
        <v>524</v>
      </c>
      <c r="C43" s="161" t="s">
        <v>525</v>
      </c>
      <c r="D43" s="1024"/>
      <c r="E43" s="1024"/>
      <c r="F43" s="1024"/>
      <c r="G43" s="1024"/>
      <c r="H43" s="162">
        <f>3614519482/1000</f>
        <v>3614519.4819999998</v>
      </c>
      <c r="I43" s="162">
        <f>2777828568/1000</f>
        <v>2777828.568</v>
      </c>
      <c r="J43" s="162">
        <f>3642685884/1000</f>
        <v>3642685.8840000001</v>
      </c>
      <c r="K43" s="162">
        <f>2883024768/1000</f>
        <v>2883024.7680000002</v>
      </c>
    </row>
    <row r="44" spans="2:11" x14ac:dyDescent="0.25">
      <c r="B44" s="160">
        <v>22</v>
      </c>
      <c r="C44" s="161" t="s">
        <v>526</v>
      </c>
      <c r="D44" s="1024"/>
      <c r="E44" s="1024"/>
      <c r="F44" s="1024"/>
      <c r="G44" s="1024"/>
      <c r="H44" s="162">
        <f>870848425/1000</f>
        <v>870848.42500000005</v>
      </c>
      <c r="I44" s="162">
        <f>962942279/1000</f>
        <v>962942.27899999998</v>
      </c>
      <c r="J44" s="162">
        <f>1135681144/1000</f>
        <v>1135681.1440000001</v>
      </c>
      <c r="K44" s="162">
        <f>733354446/1000</f>
        <v>733354.446</v>
      </c>
    </row>
    <row r="45" spans="2:11" x14ac:dyDescent="0.25">
      <c r="B45" s="160">
        <v>23</v>
      </c>
      <c r="C45" s="161" t="s">
        <v>527</v>
      </c>
      <c r="D45" s="1024"/>
      <c r="E45" s="1024"/>
      <c r="F45" s="1024"/>
      <c r="G45" s="1024"/>
      <c r="H45" s="163">
        <f>+H43/H44*100</f>
        <v>415.05724512276629</v>
      </c>
      <c r="I45" s="163">
        <f t="shared" ref="I45:K45" si="2">+I43/I44*100</f>
        <v>288.47300908676789</v>
      </c>
      <c r="J45" s="163">
        <f t="shared" si="2"/>
        <v>320.74899748445586</v>
      </c>
      <c r="K45" s="163">
        <f t="shared" si="2"/>
        <v>393.12842292361319</v>
      </c>
    </row>
    <row r="47" spans="2:11" x14ac:dyDescent="0.25">
      <c r="B47" s="90"/>
    </row>
  </sheetData>
  <mergeCells count="57">
    <mergeCell ref="D19:G19"/>
    <mergeCell ref="D6:G6"/>
    <mergeCell ref="H6:K6"/>
    <mergeCell ref="B9:K9"/>
    <mergeCell ref="D10:G10"/>
    <mergeCell ref="B11:K11"/>
    <mergeCell ref="B5:C6"/>
    <mergeCell ref="D26:G26"/>
    <mergeCell ref="B27:K27"/>
    <mergeCell ref="B31:B32"/>
    <mergeCell ref="C31:C32"/>
    <mergeCell ref="D31:G32"/>
    <mergeCell ref="H31:H32"/>
    <mergeCell ref="I31:I32"/>
    <mergeCell ref="J31:J32"/>
    <mergeCell ref="K31:K32"/>
    <mergeCell ref="K33:K34"/>
    <mergeCell ref="B36:B37"/>
    <mergeCell ref="C36:C37"/>
    <mergeCell ref="D36:D37"/>
    <mergeCell ref="E36:E37"/>
    <mergeCell ref="F36:F37"/>
    <mergeCell ref="G36:G37"/>
    <mergeCell ref="H36:H37"/>
    <mergeCell ref="I36:I37"/>
    <mergeCell ref="J36:J37"/>
    <mergeCell ref="B33:B34"/>
    <mergeCell ref="C33:C34"/>
    <mergeCell ref="D33:G34"/>
    <mergeCell ref="H33:H34"/>
    <mergeCell ref="I33:I34"/>
    <mergeCell ref="J33:J34"/>
    <mergeCell ref="K36:K37"/>
    <mergeCell ref="B38:B39"/>
    <mergeCell ref="C38:C39"/>
    <mergeCell ref="D38:D39"/>
    <mergeCell ref="E38:E39"/>
    <mergeCell ref="F38:F39"/>
    <mergeCell ref="G38:G39"/>
    <mergeCell ref="H38:H39"/>
    <mergeCell ref="I38:I39"/>
    <mergeCell ref="J38:J39"/>
    <mergeCell ref="K38:K39"/>
    <mergeCell ref="B42:K42"/>
    <mergeCell ref="D43:G43"/>
    <mergeCell ref="D44:G44"/>
    <mergeCell ref="D45:G45"/>
    <mergeCell ref="G40:G41"/>
    <mergeCell ref="H40:H41"/>
    <mergeCell ref="I40:I41"/>
    <mergeCell ref="J40:J41"/>
    <mergeCell ref="K40:K41"/>
    <mergeCell ref="B40:B41"/>
    <mergeCell ref="C40:C41"/>
    <mergeCell ref="D40:D41"/>
    <mergeCell ref="E40:E41"/>
    <mergeCell ref="F40:F41"/>
  </mergeCells>
  <hyperlinks>
    <hyperlink ref="B2" location="Indhold!B18" display="Skema EU LIQ1 - Kvantitative oplysninger om likviditetsdækningsgrad" xr:uid="{396FC578-8262-4E20-8D5D-FE3E6BC07548}"/>
  </hyperlinks>
  <pageMargins left="0.70866141732283472" right="0.70866141732283472" top="0.74803149606299213" bottom="0.74803149606299213" header="0.31496062992125984" footer="0.31496062992125984"/>
  <pageSetup paperSize="9" orientation="landscape" r:id="rId1"/>
  <headerFooter>
    <oddHeader>&amp;CDA
Bilag XIII</oddHead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6EDD5-7DCE-48F8-BFAD-BC1D75A9DA69}">
  <dimension ref="B2:J44"/>
  <sheetViews>
    <sheetView showGridLines="0" topLeftCell="A30" zoomScaleNormal="100" workbookViewId="0">
      <selection activeCell="F1" sqref="F1"/>
    </sheetView>
  </sheetViews>
  <sheetFormatPr defaultColWidth="9.140625" defaultRowHeight="15" x14ac:dyDescent="0.25"/>
  <cols>
    <col min="1" max="1" width="3.7109375" customWidth="1"/>
    <col min="3" max="3" width="39.28515625" customWidth="1"/>
    <col min="4" max="4" width="13.85546875" customWidth="1"/>
    <col min="5" max="5" width="16" customWidth="1"/>
    <col min="6" max="6" width="18.28515625" customWidth="1"/>
    <col min="7" max="7" width="12.5703125" customWidth="1"/>
    <col min="8" max="8" width="17.85546875" customWidth="1"/>
    <col min="9" max="9" width="16.85546875" customWidth="1"/>
    <col min="10" max="10" width="18.5703125" customWidth="1"/>
  </cols>
  <sheetData>
    <row r="2" spans="2:8" x14ac:dyDescent="0.25">
      <c r="B2" s="866" t="s">
        <v>528</v>
      </c>
    </row>
    <row r="3" spans="2:8" ht="15.75" x14ac:dyDescent="0.25">
      <c r="B3" s="164" t="s">
        <v>529</v>
      </c>
    </row>
    <row r="4" spans="2:8" s="88" customFormat="1" x14ac:dyDescent="0.25"/>
    <row r="5" spans="2:8" x14ac:dyDescent="0.25">
      <c r="B5" s="1048"/>
      <c r="C5" s="1049"/>
      <c r="D5" s="465" t="s">
        <v>103</v>
      </c>
      <c r="E5" s="465" t="s">
        <v>102</v>
      </c>
      <c r="F5" s="465" t="s">
        <v>97</v>
      </c>
      <c r="G5" s="465" t="s">
        <v>96</v>
      </c>
      <c r="H5" s="465" t="s">
        <v>95</v>
      </c>
    </row>
    <row r="6" spans="2:8" ht="15.75" customHeight="1" x14ac:dyDescent="0.25">
      <c r="B6" s="1050" t="s">
        <v>1423</v>
      </c>
      <c r="C6" s="1051"/>
      <c r="D6" s="1054" t="s">
        <v>530</v>
      </c>
      <c r="E6" s="1055"/>
      <c r="F6" s="1055"/>
      <c r="G6" s="1056"/>
      <c r="H6" s="1043" t="s">
        <v>531</v>
      </c>
    </row>
    <row r="7" spans="2:8" ht="15" customHeight="1" x14ac:dyDescent="0.25">
      <c r="B7" s="1052"/>
      <c r="C7" s="1053"/>
      <c r="D7" s="465" t="s">
        <v>532</v>
      </c>
      <c r="E7" s="465" t="s">
        <v>533</v>
      </c>
      <c r="F7" s="465" t="s">
        <v>534</v>
      </c>
      <c r="G7" s="465" t="s">
        <v>535</v>
      </c>
      <c r="H7" s="1044"/>
    </row>
    <row r="8" spans="2:8" x14ac:dyDescent="0.25">
      <c r="B8" s="508" t="s">
        <v>536</v>
      </c>
      <c r="C8" s="509"/>
      <c r="D8" s="509"/>
      <c r="E8" s="510"/>
      <c r="F8" s="509"/>
      <c r="G8" s="509"/>
      <c r="H8" s="511"/>
    </row>
    <row r="9" spans="2:8" x14ac:dyDescent="0.25">
      <c r="B9" s="512">
        <v>1</v>
      </c>
      <c r="C9" s="514" t="s">
        <v>537</v>
      </c>
      <c r="D9" s="515">
        <f>1237984620/1000</f>
        <v>1237984.6200000001</v>
      </c>
      <c r="E9" s="516">
        <v>0</v>
      </c>
      <c r="F9" s="516">
        <v>0</v>
      </c>
      <c r="G9" s="517">
        <v>0</v>
      </c>
      <c r="H9" s="517">
        <f>SUM(D9:G9)</f>
        <v>1237984.6200000001</v>
      </c>
    </row>
    <row r="10" spans="2:8" x14ac:dyDescent="0.25">
      <c r="B10" s="451">
        <v>2</v>
      </c>
      <c r="C10" s="518" t="s">
        <v>538</v>
      </c>
      <c r="D10" s="489">
        <f>+D9</f>
        <v>1237984.6200000001</v>
      </c>
      <c r="E10" s="489">
        <v>0</v>
      </c>
      <c r="F10" s="489">
        <v>0</v>
      </c>
      <c r="G10" s="56">
        <v>0</v>
      </c>
      <c r="H10" s="517">
        <f t="shared" ref="H10:H11" si="0">SUM(D10:G10)</f>
        <v>1237984.6200000001</v>
      </c>
    </row>
    <row r="11" spans="2:8" x14ac:dyDescent="0.25">
      <c r="B11" s="451">
        <v>3</v>
      </c>
      <c r="C11" s="518" t="s">
        <v>539</v>
      </c>
      <c r="D11" s="519"/>
      <c r="E11" s="489">
        <v>0</v>
      </c>
      <c r="F11" s="489">
        <v>0</v>
      </c>
      <c r="G11" s="56">
        <v>0</v>
      </c>
      <c r="H11" s="517">
        <f t="shared" si="0"/>
        <v>0</v>
      </c>
    </row>
    <row r="12" spans="2:8" x14ac:dyDescent="0.25">
      <c r="B12" s="513">
        <v>4</v>
      </c>
      <c r="C12" s="514" t="s">
        <v>540</v>
      </c>
      <c r="D12" s="519"/>
      <c r="E12" s="516">
        <f>+E14+E13</f>
        <v>6349577.79</v>
      </c>
      <c r="F12" s="516">
        <f t="shared" ref="F12:H12" si="1">+F14+F13</f>
        <v>189751.755</v>
      </c>
      <c r="G12" s="516">
        <f t="shared" si="1"/>
        <v>0</v>
      </c>
      <c r="H12" s="516">
        <f t="shared" si="1"/>
        <v>6138603.307</v>
      </c>
    </row>
    <row r="13" spans="2:8" x14ac:dyDescent="0.25">
      <c r="B13" s="451">
        <v>5</v>
      </c>
      <c r="C13" s="518" t="s">
        <v>498</v>
      </c>
      <c r="D13" s="519"/>
      <c r="E13" s="55">
        <f>4938942109/1000</f>
        <v>4938942.1090000002</v>
      </c>
      <c r="F13" s="55">
        <f>125192228/1000</f>
        <v>125192.228</v>
      </c>
      <c r="G13" s="56">
        <v>0</v>
      </c>
      <c r="H13" s="517">
        <f>4810927620/1000</f>
        <v>4810927.62</v>
      </c>
    </row>
    <row r="14" spans="2:8" x14ac:dyDescent="0.25">
      <c r="B14" s="451">
        <v>6</v>
      </c>
      <c r="C14" s="518" t="s">
        <v>499</v>
      </c>
      <c r="D14" s="519"/>
      <c r="E14" s="55">
        <f>1410635681/1000</f>
        <v>1410635.6810000001</v>
      </c>
      <c r="F14" s="55">
        <f>64559527/1000</f>
        <v>64559.527000000002</v>
      </c>
      <c r="G14" s="56">
        <v>0</v>
      </c>
      <c r="H14" s="517">
        <f>1327675687/1000</f>
        <v>1327675.6869999999</v>
      </c>
    </row>
    <row r="15" spans="2:8" x14ac:dyDescent="0.25">
      <c r="B15" s="513">
        <v>7</v>
      </c>
      <c r="C15" s="514" t="s">
        <v>541</v>
      </c>
      <c r="D15" s="519"/>
      <c r="E15" s="516">
        <f>+E16+E17</f>
        <v>1516089.3870000001</v>
      </c>
      <c r="F15" s="516">
        <f t="shared" ref="F15:H15" si="2">+F16+F17</f>
        <v>21667.414000000001</v>
      </c>
      <c r="G15" s="516">
        <f t="shared" si="2"/>
        <v>0</v>
      </c>
      <c r="H15" s="516">
        <f t="shared" si="2"/>
        <v>630482.64500000002</v>
      </c>
    </row>
    <row r="16" spans="2:8" x14ac:dyDescent="0.25">
      <c r="B16" s="451">
        <v>8</v>
      </c>
      <c r="C16" s="518" t="s">
        <v>542</v>
      </c>
      <c r="D16" s="519"/>
      <c r="E16" s="521">
        <v>0</v>
      </c>
      <c r="F16" s="55">
        <v>0</v>
      </c>
      <c r="G16" s="56">
        <v>0</v>
      </c>
      <c r="H16" s="517">
        <v>0</v>
      </c>
    </row>
    <row r="17" spans="2:9" x14ac:dyDescent="0.25">
      <c r="B17" s="451">
        <v>9</v>
      </c>
      <c r="C17" s="518" t="s">
        <v>543</v>
      </c>
      <c r="D17" s="519"/>
      <c r="E17" s="55">
        <f>(1239297877+276791510)/1000</f>
        <v>1516089.3870000001</v>
      </c>
      <c r="F17" s="55">
        <f>(21667414)/1000</f>
        <v>21667.414000000001</v>
      </c>
      <c r="G17" s="56">
        <v>0</v>
      </c>
      <c r="H17" s="517">
        <f>(630482645)/1000</f>
        <v>630482.64500000002</v>
      </c>
    </row>
    <row r="18" spans="2:9" x14ac:dyDescent="0.25">
      <c r="B18" s="513">
        <v>10</v>
      </c>
      <c r="C18" s="514" t="s">
        <v>544</v>
      </c>
      <c r="D18" s="519"/>
      <c r="E18" s="516">
        <v>0</v>
      </c>
      <c r="F18" s="516">
        <v>0</v>
      </c>
      <c r="G18" s="520">
        <v>0</v>
      </c>
      <c r="H18" s="517">
        <v>0</v>
      </c>
    </row>
    <row r="19" spans="2:9" x14ac:dyDescent="0.25">
      <c r="B19" s="513">
        <v>11</v>
      </c>
      <c r="C19" s="514" t="s">
        <v>545</v>
      </c>
      <c r="D19" s="516">
        <v>0</v>
      </c>
      <c r="E19" s="516">
        <f>35075036/1000</f>
        <v>35075.036</v>
      </c>
      <c r="F19" s="516">
        <v>0</v>
      </c>
      <c r="G19" s="520">
        <v>0</v>
      </c>
      <c r="H19" s="517">
        <v>0</v>
      </c>
    </row>
    <row r="20" spans="2:9" x14ac:dyDescent="0.25">
      <c r="B20" s="451">
        <v>12</v>
      </c>
      <c r="C20" s="518" t="s">
        <v>546</v>
      </c>
      <c r="D20" s="55">
        <v>0</v>
      </c>
      <c r="E20" s="519"/>
      <c r="F20" s="519"/>
      <c r="G20" s="519"/>
      <c r="H20" s="517">
        <v>0</v>
      </c>
    </row>
    <row r="21" spans="2:9" ht="45" x14ac:dyDescent="0.25">
      <c r="B21" s="451">
        <v>13</v>
      </c>
      <c r="C21" s="518" t="s">
        <v>547</v>
      </c>
      <c r="D21" s="519"/>
      <c r="E21" s="55">
        <f>+E19</f>
        <v>35075.036</v>
      </c>
      <c r="F21" s="55">
        <v>0</v>
      </c>
      <c r="G21" s="56">
        <v>0</v>
      </c>
      <c r="H21" s="517">
        <v>0</v>
      </c>
    </row>
    <row r="22" spans="2:9" x14ac:dyDescent="0.25">
      <c r="B22" s="50">
        <v>14</v>
      </c>
      <c r="C22" s="54" t="s">
        <v>548</v>
      </c>
      <c r="D22" s="522"/>
      <c r="E22" s="522"/>
      <c r="F22" s="522"/>
      <c r="G22" s="522"/>
      <c r="H22" s="517">
        <f>+H9+H12+H15</f>
        <v>8007070.5720000006</v>
      </c>
      <c r="I22" s="353"/>
    </row>
    <row r="23" spans="2:9" ht="23.25" customHeight="1" x14ac:dyDescent="0.25">
      <c r="B23" s="1045" t="s">
        <v>549</v>
      </c>
      <c r="C23" s="1046"/>
      <c r="D23" s="1046"/>
      <c r="E23" s="1046"/>
      <c r="F23" s="1046"/>
      <c r="G23" s="1046"/>
      <c r="H23" s="1047"/>
    </row>
    <row r="24" spans="2:9" x14ac:dyDescent="0.25">
      <c r="B24" s="513">
        <v>15</v>
      </c>
      <c r="C24" s="514" t="s">
        <v>495</v>
      </c>
      <c r="D24" s="523"/>
      <c r="E24" s="524"/>
      <c r="F24" s="524"/>
      <c r="G24" s="525"/>
      <c r="H24" s="520">
        <f>220624113/1000</f>
        <v>220624.11300000001</v>
      </c>
    </row>
    <row r="25" spans="2:9" ht="45" x14ac:dyDescent="0.25">
      <c r="B25" s="513" t="s">
        <v>550</v>
      </c>
      <c r="C25" s="514" t="s">
        <v>551</v>
      </c>
      <c r="D25" s="526"/>
      <c r="E25" s="516">
        <v>0</v>
      </c>
      <c r="F25" s="516">
        <v>0</v>
      </c>
      <c r="G25" s="520">
        <v>0</v>
      </c>
      <c r="H25" s="520">
        <v>0</v>
      </c>
    </row>
    <row r="26" spans="2:9" ht="30" x14ac:dyDescent="0.25">
      <c r="B26" s="513">
        <v>16</v>
      </c>
      <c r="C26" s="514" t="s">
        <v>552</v>
      </c>
      <c r="D26" s="523"/>
      <c r="E26" s="516">
        <v>0</v>
      </c>
      <c r="F26" s="516">
        <v>0</v>
      </c>
      <c r="G26" s="520">
        <v>0</v>
      </c>
      <c r="H26" s="520">
        <v>0</v>
      </c>
    </row>
    <row r="27" spans="2:9" x14ac:dyDescent="0.25">
      <c r="B27" s="513">
        <v>17</v>
      </c>
      <c r="C27" s="514" t="s">
        <v>553</v>
      </c>
      <c r="D27" s="523"/>
      <c r="E27" s="516">
        <f>(119176776+172348790)/1000</f>
        <v>291525.56599999999</v>
      </c>
      <c r="F27" s="516">
        <f>(4415598+66963516)/1000</f>
        <v>71379.114000000001</v>
      </c>
      <c r="G27" s="520">
        <f>(459393038+3846816160)/1000</f>
        <v>4306209.1979999999</v>
      </c>
      <c r="H27" s="520">
        <f>(507694629+3281218193)/1000</f>
        <v>3788912.8220000002</v>
      </c>
    </row>
    <row r="28" spans="2:9" ht="75" x14ac:dyDescent="0.25">
      <c r="B28" s="451">
        <v>18</v>
      </c>
      <c r="C28" s="527" t="s">
        <v>554</v>
      </c>
      <c r="D28" s="523"/>
      <c r="E28" s="55">
        <v>0</v>
      </c>
      <c r="F28" s="55">
        <v>0</v>
      </c>
      <c r="G28" s="56">
        <v>0</v>
      </c>
      <c r="H28" s="56">
        <v>0</v>
      </c>
    </row>
    <row r="29" spans="2:9" ht="75" x14ac:dyDescent="0.25">
      <c r="B29" s="451">
        <v>19</v>
      </c>
      <c r="C29" s="518" t="s">
        <v>555</v>
      </c>
      <c r="D29" s="523"/>
      <c r="E29" s="55">
        <f>105948298/1000</f>
        <v>105948.298</v>
      </c>
      <c r="F29" s="55">
        <v>0</v>
      </c>
      <c r="G29" s="56">
        <f>651972619/1000</f>
        <v>651972.61899999995</v>
      </c>
      <c r="H29" s="56">
        <f>662567449/1000</f>
        <v>662567.44900000002</v>
      </c>
    </row>
    <row r="30" spans="2:9" ht="60" x14ac:dyDescent="0.25">
      <c r="B30" s="451">
        <v>20</v>
      </c>
      <c r="C30" s="518" t="s">
        <v>556</v>
      </c>
      <c r="D30" s="523"/>
      <c r="E30" s="55">
        <f>(11166320-11116475+55234173)/1000</f>
        <v>55284.017999999996</v>
      </c>
      <c r="F30" s="55">
        <f>(12788860-12636169+54174656)/1000</f>
        <v>54327.347000000002</v>
      </c>
      <c r="G30" s="56">
        <f>(818241347-802615637+2376602194-87085)/1000</f>
        <v>2392140.8190000001</v>
      </c>
      <c r="H30" s="56">
        <f>(543834465+2074816279)/1000</f>
        <v>2618650.7439999999</v>
      </c>
    </row>
    <row r="31" spans="2:9" ht="45" x14ac:dyDescent="0.25">
      <c r="B31" s="451">
        <v>21</v>
      </c>
      <c r="C31" s="528" t="s">
        <v>557</v>
      </c>
      <c r="D31" s="523"/>
      <c r="E31" s="55">
        <f>(11166320-11116475)/1000</f>
        <v>49.844999999999999</v>
      </c>
      <c r="F31" s="55">
        <f>(12788860-12636169)/1000</f>
        <v>152.691</v>
      </c>
      <c r="G31" s="56">
        <f>(818241347-802615637)/1000</f>
        <v>15625.71</v>
      </c>
      <c r="H31" s="56">
        <f>543834465/1000</f>
        <v>543834.46499999997</v>
      </c>
    </row>
    <row r="32" spans="2:9" ht="30" x14ac:dyDescent="0.25">
      <c r="B32" s="451">
        <v>22</v>
      </c>
      <c r="C32" s="518" t="s">
        <v>558</v>
      </c>
      <c r="D32" s="523"/>
      <c r="E32" s="55">
        <f>(11116475)/1000</f>
        <v>11116.475</v>
      </c>
      <c r="F32" s="55">
        <f>(12636169)/1000</f>
        <v>12636.169</v>
      </c>
      <c r="G32" s="56">
        <f>(802615637+87085)/1000</f>
        <v>802702.72199999995</v>
      </c>
      <c r="H32" s="56">
        <v>0</v>
      </c>
    </row>
    <row r="33" spans="2:10" ht="45" x14ac:dyDescent="0.25">
      <c r="B33" s="451">
        <v>23</v>
      </c>
      <c r="C33" s="528" t="s">
        <v>557</v>
      </c>
      <c r="D33" s="523"/>
      <c r="E33" s="55">
        <f>11116475/1000</f>
        <v>11116.475</v>
      </c>
      <c r="F33" s="55">
        <f>12636169/1000</f>
        <v>12636.169</v>
      </c>
      <c r="G33" s="56">
        <f>8026156371/1000</f>
        <v>8026156.3710000003</v>
      </c>
      <c r="H33" s="56">
        <v>0</v>
      </c>
    </row>
    <row r="34" spans="2:10" ht="90" x14ac:dyDescent="0.25">
      <c r="B34" s="451">
        <v>24</v>
      </c>
      <c r="C34" s="518" t="s">
        <v>559</v>
      </c>
      <c r="D34" s="523"/>
      <c r="E34" s="55">
        <f>119176776/1000</f>
        <v>119176.776</v>
      </c>
      <c r="F34" s="55">
        <f>4415598/1000</f>
        <v>4415.598</v>
      </c>
      <c r="G34" s="56">
        <f>459393038/1000</f>
        <v>459393.038</v>
      </c>
      <c r="H34" s="56">
        <f>507694629/1000</f>
        <v>507694.62900000002</v>
      </c>
    </row>
    <row r="35" spans="2:10" x14ac:dyDescent="0.25">
      <c r="B35" s="513">
        <v>25</v>
      </c>
      <c r="C35" s="514" t="s">
        <v>560</v>
      </c>
      <c r="D35" s="523"/>
      <c r="E35" s="516">
        <v>0</v>
      </c>
      <c r="F35" s="516">
        <v>0</v>
      </c>
      <c r="G35" s="520">
        <v>0</v>
      </c>
      <c r="H35" s="520">
        <v>0</v>
      </c>
    </row>
    <row r="36" spans="2:10" x14ac:dyDescent="0.25">
      <c r="B36" s="513">
        <v>26</v>
      </c>
      <c r="C36" s="514" t="s">
        <v>561</v>
      </c>
      <c r="D36" s="516"/>
      <c r="E36" s="529">
        <f>+E37+E38+E39+E40+E41</f>
        <v>68573.312000000005</v>
      </c>
      <c r="F36" s="529">
        <f>+F37+E38+E39+E40+F41</f>
        <v>5877.1149999999998</v>
      </c>
      <c r="G36" s="530">
        <f>+G37+E38+E39+E40+G41</f>
        <v>980173.74300000002</v>
      </c>
      <c r="H36" s="530">
        <f>+H37+H38+H39+H40+H41</f>
        <v>1019293.0680000001</v>
      </c>
    </row>
    <row r="37" spans="2:10" x14ac:dyDescent="0.25">
      <c r="B37" s="451">
        <v>27</v>
      </c>
      <c r="C37" s="518" t="s">
        <v>562</v>
      </c>
      <c r="D37" s="523"/>
      <c r="E37" s="523"/>
      <c r="F37" s="523"/>
      <c r="G37" s="56">
        <v>0</v>
      </c>
      <c r="H37" s="539">
        <v>0</v>
      </c>
    </row>
    <row r="38" spans="2:10" ht="45" x14ac:dyDescent="0.25">
      <c r="B38" s="451">
        <v>28</v>
      </c>
      <c r="C38" s="518" t="s">
        <v>563</v>
      </c>
      <c r="D38" s="523"/>
      <c r="E38" s="55">
        <v>0</v>
      </c>
      <c r="F38" s="55">
        <v>0</v>
      </c>
      <c r="G38" s="56">
        <v>0</v>
      </c>
      <c r="H38" s="56">
        <v>0</v>
      </c>
    </row>
    <row r="39" spans="2:10" x14ac:dyDescent="0.25">
      <c r="B39" s="451">
        <v>29</v>
      </c>
      <c r="C39" s="518" t="s">
        <v>564</v>
      </c>
      <c r="D39" s="531"/>
      <c r="E39" s="55">
        <f>2029635/1000</f>
        <v>2029.635</v>
      </c>
      <c r="F39" s="55">
        <v>0</v>
      </c>
      <c r="G39" s="56">
        <v>0</v>
      </c>
      <c r="H39" s="56">
        <f>2029635/1000</f>
        <v>2029.635</v>
      </c>
    </row>
    <row r="40" spans="2:10" ht="30" x14ac:dyDescent="0.25">
      <c r="B40" s="451">
        <v>30</v>
      </c>
      <c r="C40" s="518" t="s">
        <v>565</v>
      </c>
      <c r="D40" s="523"/>
      <c r="E40" s="55">
        <f>157858/1000</f>
        <v>157.858</v>
      </c>
      <c r="F40" s="55">
        <v>0</v>
      </c>
      <c r="G40" s="56">
        <v>0</v>
      </c>
      <c r="H40" s="56">
        <v>7.8929999999999998</v>
      </c>
    </row>
    <row r="41" spans="2:10" ht="30" x14ac:dyDescent="0.25">
      <c r="B41" s="451">
        <v>31</v>
      </c>
      <c r="C41" s="518" t="s">
        <v>566</v>
      </c>
      <c r="D41" s="523"/>
      <c r="E41" s="532">
        <f>(30791269+35564788+29762)/1000</f>
        <v>66385.819000000003</v>
      </c>
      <c r="F41" s="532">
        <f>3689622/1000</f>
        <v>3689.6219999999998</v>
      </c>
      <c r="G41" s="56">
        <f>(131292176+846694074)/1000</f>
        <v>977986.25</v>
      </c>
      <c r="H41" s="56">
        <f>(170546585+846708955)/1000</f>
        <v>1017255.54</v>
      </c>
    </row>
    <row r="42" spans="2:10" x14ac:dyDescent="0.25">
      <c r="B42" s="513">
        <v>32</v>
      </c>
      <c r="C42" s="514" t="s">
        <v>567</v>
      </c>
      <c r="D42" s="523"/>
      <c r="E42" s="533">
        <f>2663642798/1000</f>
        <v>2663642.798</v>
      </c>
      <c r="F42" s="533">
        <v>0</v>
      </c>
      <c r="G42" s="534">
        <v>0</v>
      </c>
      <c r="H42" s="535">
        <f>133182140/1000</f>
        <v>133182.14000000001</v>
      </c>
    </row>
    <row r="43" spans="2:10" x14ac:dyDescent="0.25">
      <c r="B43" s="50">
        <v>33</v>
      </c>
      <c r="C43" s="54" t="s">
        <v>38</v>
      </c>
      <c r="D43" s="522"/>
      <c r="E43" s="522"/>
      <c r="F43" s="522"/>
      <c r="G43" s="536"/>
      <c r="H43" s="537">
        <f>+H24+H27+H36+H42</f>
        <v>5162012.1430000002</v>
      </c>
      <c r="I43" s="353"/>
      <c r="J43" s="353"/>
    </row>
    <row r="44" spans="2:10" x14ac:dyDescent="0.25">
      <c r="B44" s="50">
        <v>34</v>
      </c>
      <c r="C44" s="54" t="s">
        <v>568</v>
      </c>
      <c r="D44" s="522"/>
      <c r="E44" s="522"/>
      <c r="F44" s="522"/>
      <c r="G44" s="522"/>
      <c r="H44" s="538">
        <f>+H22/H43*100</f>
        <v>155.11529903814875</v>
      </c>
    </row>
  </sheetData>
  <mergeCells count="5">
    <mergeCell ref="H6:H7"/>
    <mergeCell ref="B23:H23"/>
    <mergeCell ref="B5:C5"/>
    <mergeCell ref="B6:C7"/>
    <mergeCell ref="D6:G6"/>
  </mergeCells>
  <hyperlinks>
    <hyperlink ref="B2" location="Indhold!B23" display="Skema EU LIQ2: Net stable funding ratio " xr:uid="{C0D8CD69-8623-4A54-9A7A-6ABC7115D414}"/>
  </hyperlinks>
  <pageMargins left="0.70866141732283472" right="0.70866141732283472" top="0.74803149606299213" bottom="0.74803149606299213" header="0.31496062992125984" footer="0.31496062992125984"/>
  <pageSetup paperSize="9" orientation="landscape" r:id="rId1"/>
  <headerFooter>
    <oddHeader>&amp;CDA
Bilag XIII</oddHead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6A8CC-59F3-4DDB-BD4B-089A39F4FAFA}">
  <dimension ref="B1:D9"/>
  <sheetViews>
    <sheetView showGridLines="0" zoomScaleNormal="100" workbookViewId="0">
      <selection activeCell="F1" sqref="F1"/>
    </sheetView>
  </sheetViews>
  <sheetFormatPr defaultColWidth="9.140625" defaultRowHeight="15" x14ac:dyDescent="0.25"/>
  <cols>
    <col min="3" max="3" width="55.28515625" customWidth="1"/>
    <col min="4" max="4" width="22" customWidth="1"/>
    <col min="5" max="5" width="44" bestFit="1" customWidth="1"/>
    <col min="6" max="6" width="26.5703125" customWidth="1"/>
    <col min="7" max="7" width="44" bestFit="1" customWidth="1"/>
    <col min="8" max="8" width="16.5703125" customWidth="1"/>
    <col min="9" max="9" width="25.85546875" bestFit="1" customWidth="1"/>
    <col min="10" max="10" width="14" customWidth="1"/>
    <col min="11" max="11" width="25.85546875" bestFit="1" customWidth="1"/>
  </cols>
  <sheetData>
    <row r="1" spans="2:4" ht="18.75" x14ac:dyDescent="0.3">
      <c r="C1" s="86"/>
    </row>
    <row r="3" spans="2:4" x14ac:dyDescent="0.25">
      <c r="B3" s="866" t="s">
        <v>351</v>
      </c>
    </row>
    <row r="6" spans="2:4" x14ac:dyDescent="0.25">
      <c r="D6" s="41" t="s">
        <v>103</v>
      </c>
    </row>
    <row r="7" spans="2:4" x14ac:dyDescent="0.25">
      <c r="B7" s="118">
        <v>1</v>
      </c>
      <c r="C7" s="119" t="s">
        <v>89</v>
      </c>
      <c r="D7" s="120">
        <f>5136453489/1000</f>
        <v>5136453.4890000001</v>
      </c>
    </row>
    <row r="8" spans="2:4" x14ac:dyDescent="0.25">
      <c r="B8" s="118">
        <v>2</v>
      </c>
      <c r="C8" s="119" t="s">
        <v>352</v>
      </c>
      <c r="D8" s="865">
        <f>+D9/D7*100</f>
        <v>2.4999999956195453</v>
      </c>
    </row>
    <row r="9" spans="2:4" x14ac:dyDescent="0.25">
      <c r="B9" s="118">
        <v>3</v>
      </c>
      <c r="C9" s="119" t="s">
        <v>353</v>
      </c>
      <c r="D9" s="120">
        <f>128411337/1000</f>
        <v>128411.337</v>
      </c>
    </row>
  </sheetData>
  <conditionalFormatting sqref="D7:D9">
    <cfRule type="cellIs" dxfId="23" priority="1" stopIfTrue="1" operator="lessThan">
      <formula>0</formula>
    </cfRule>
  </conditionalFormatting>
  <hyperlinks>
    <hyperlink ref="B3" location="Indhold!B21" display="Skema EU-CCyB2 — Størrelsen af den institutspecifikke kontracykliske kapitalbuffer" xr:uid="{FE9B4854-993B-4A91-9904-988AD3D1F685}"/>
  </hyperlinks>
  <pageMargins left="0.70866141732283472" right="0.70866141732283472" top="0.74803149606299213" bottom="0.74803149606299213" header="0.31496062992125984" footer="0.31496062992125984"/>
  <pageSetup paperSize="9" orientation="landscape" verticalDpi="1200" r:id="rId1"/>
  <headerFooter>
    <oddHeader>&amp;CDA
Bilag IX</oddHead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F69ED-A5C9-4045-AECE-427D89C669AB}">
  <sheetPr>
    <pageSetUpPr fitToPage="1"/>
  </sheetPr>
  <dimension ref="B2:R31"/>
  <sheetViews>
    <sheetView showGridLines="0" topLeftCell="A6" zoomScaleNormal="100" workbookViewId="0">
      <selection activeCell="F1" sqref="F1"/>
    </sheetView>
  </sheetViews>
  <sheetFormatPr defaultRowHeight="15" x14ac:dyDescent="0.25"/>
  <cols>
    <col min="2" max="2" width="5.85546875" customWidth="1"/>
    <col min="3" max="3" width="24" bestFit="1" customWidth="1"/>
    <col min="4" max="5" width="11.85546875" bestFit="1" customWidth="1"/>
    <col min="6" max="7" width="10.28515625" bestFit="1" customWidth="1"/>
    <col min="8" max="8" width="9.28515625" bestFit="1" customWidth="1"/>
    <col min="9" max="9" width="10.28515625" bestFit="1" customWidth="1"/>
    <col min="10" max="15" width="9.28515625" bestFit="1" customWidth="1"/>
    <col min="16" max="16" width="10.5703125" customWidth="1"/>
    <col min="17" max="18" width="9.28515625" bestFit="1" customWidth="1"/>
  </cols>
  <sheetData>
    <row r="2" spans="2:18" ht="18.75" x14ac:dyDescent="0.3">
      <c r="B2" s="416" t="s">
        <v>569</v>
      </c>
    </row>
    <row r="3" spans="2:18" ht="15" customHeight="1" x14ac:dyDescent="0.25">
      <c r="B3" s="164"/>
      <c r="C3" s="165"/>
      <c r="D3" s="165"/>
      <c r="E3" s="165"/>
      <c r="F3" s="165"/>
      <c r="G3" s="165"/>
      <c r="H3" s="165"/>
      <c r="I3" s="165"/>
      <c r="J3" s="165"/>
      <c r="K3" s="165"/>
      <c r="L3" s="165"/>
      <c r="N3" s="165"/>
      <c r="O3" s="165"/>
      <c r="P3" s="165"/>
      <c r="Q3" s="165"/>
      <c r="R3" s="165"/>
    </row>
    <row r="4" spans="2:18" ht="15" customHeight="1" thickBot="1" x14ac:dyDescent="0.3">
      <c r="B4" s="164"/>
      <c r="C4" s="165"/>
      <c r="D4" s="165"/>
      <c r="E4" s="165"/>
      <c r="F4" s="165"/>
      <c r="G4" s="165"/>
      <c r="H4" s="165"/>
      <c r="I4" s="165"/>
      <c r="J4" s="165"/>
      <c r="K4" s="165"/>
      <c r="L4" s="165"/>
      <c r="M4" s="165"/>
      <c r="N4" s="165"/>
      <c r="O4" s="165"/>
      <c r="P4" s="165"/>
      <c r="Q4" s="165"/>
      <c r="R4" s="165"/>
    </row>
    <row r="5" spans="2:18" ht="16.5" thickBot="1" x14ac:dyDescent="0.3">
      <c r="B5" s="541"/>
      <c r="C5" s="542"/>
      <c r="D5" s="550" t="s">
        <v>103</v>
      </c>
      <c r="E5" s="550" t="s">
        <v>102</v>
      </c>
      <c r="F5" s="550" t="s">
        <v>97</v>
      </c>
      <c r="G5" s="550" t="s">
        <v>96</v>
      </c>
      <c r="H5" s="550" t="s">
        <v>95</v>
      </c>
      <c r="I5" s="550" t="s">
        <v>111</v>
      </c>
      <c r="J5" s="550" t="s">
        <v>112</v>
      </c>
      <c r="K5" s="550" t="s">
        <v>164</v>
      </c>
      <c r="L5" s="550" t="s">
        <v>323</v>
      </c>
      <c r="M5" s="550" t="s">
        <v>324</v>
      </c>
      <c r="N5" s="550" t="s">
        <v>325</v>
      </c>
      <c r="O5" s="550" t="s">
        <v>326</v>
      </c>
      <c r="P5" s="550" t="s">
        <v>327</v>
      </c>
      <c r="Q5" s="550" t="s">
        <v>354</v>
      </c>
      <c r="R5" s="550" t="s">
        <v>570</v>
      </c>
    </row>
    <row r="6" spans="2:18" ht="40.5" customHeight="1" thickBot="1" x14ac:dyDescent="0.3">
      <c r="B6" s="541"/>
      <c r="C6" s="542"/>
      <c r="D6" s="1059" t="s">
        <v>571</v>
      </c>
      <c r="E6" s="1059"/>
      <c r="F6" s="1059"/>
      <c r="G6" s="1059"/>
      <c r="H6" s="1059"/>
      <c r="I6" s="1059"/>
      <c r="J6" s="1059" t="s">
        <v>572</v>
      </c>
      <c r="K6" s="1059"/>
      <c r="L6" s="1059"/>
      <c r="M6" s="1059"/>
      <c r="N6" s="1059"/>
      <c r="O6" s="1059"/>
      <c r="P6" s="1059" t="s">
        <v>1252</v>
      </c>
      <c r="Q6" s="1059" t="s">
        <v>574</v>
      </c>
      <c r="R6" s="1059"/>
    </row>
    <row r="7" spans="2:18" ht="57.75" customHeight="1" thickBot="1" x14ac:dyDescent="0.3">
      <c r="B7" s="1057" t="s">
        <v>1423</v>
      </c>
      <c r="C7" s="1058"/>
      <c r="D7" s="1060" t="s">
        <v>575</v>
      </c>
      <c r="E7" s="1059"/>
      <c r="F7" s="1059"/>
      <c r="G7" s="1059" t="s">
        <v>484</v>
      </c>
      <c r="H7" s="1059"/>
      <c r="I7" s="1059"/>
      <c r="J7" s="1059" t="s">
        <v>576</v>
      </c>
      <c r="K7" s="1059"/>
      <c r="L7" s="1059"/>
      <c r="M7" s="1059" t="s">
        <v>577</v>
      </c>
      <c r="N7" s="1059"/>
      <c r="O7" s="1059"/>
      <c r="P7" s="1059"/>
      <c r="Q7" s="1059" t="s">
        <v>1253</v>
      </c>
      <c r="R7" s="1059" t="s">
        <v>1254</v>
      </c>
    </row>
    <row r="8" spans="2:18" ht="15.75" x14ac:dyDescent="0.25">
      <c r="B8" s="541"/>
      <c r="C8" s="551"/>
      <c r="D8" s="552"/>
      <c r="E8" s="553" t="s">
        <v>578</v>
      </c>
      <c r="F8" s="553" t="s">
        <v>579</v>
      </c>
      <c r="G8" s="552"/>
      <c r="H8" s="553" t="s">
        <v>579</v>
      </c>
      <c r="I8" s="553" t="s">
        <v>580</v>
      </c>
      <c r="J8" s="552"/>
      <c r="K8" s="553" t="s">
        <v>578</v>
      </c>
      <c r="L8" s="553" t="s">
        <v>579</v>
      </c>
      <c r="M8" s="552"/>
      <c r="N8" s="553" t="s">
        <v>579</v>
      </c>
      <c r="O8" s="553" t="s">
        <v>580</v>
      </c>
      <c r="P8" s="552"/>
      <c r="Q8" s="1060"/>
      <c r="R8" s="1060"/>
    </row>
    <row r="9" spans="2:18" ht="45" x14ac:dyDescent="0.25">
      <c r="B9" s="544" t="s">
        <v>581</v>
      </c>
      <c r="C9" s="545" t="s">
        <v>582</v>
      </c>
      <c r="D9" s="558">
        <f>849093505/1000</f>
        <v>849093.505</v>
      </c>
      <c r="E9" s="558">
        <f>849093505/1000</f>
        <v>849093.505</v>
      </c>
      <c r="F9" s="558">
        <v>0</v>
      </c>
      <c r="G9" s="558">
        <v>0</v>
      </c>
      <c r="H9" s="558">
        <v>0</v>
      </c>
      <c r="I9" s="558">
        <v>0</v>
      </c>
      <c r="J9" s="558">
        <v>0</v>
      </c>
      <c r="K9" s="558"/>
      <c r="L9" s="558"/>
      <c r="M9" s="558">
        <v>0</v>
      </c>
      <c r="N9" s="558">
        <v>0</v>
      </c>
      <c r="O9" s="558">
        <v>0</v>
      </c>
      <c r="P9" s="558">
        <v>0</v>
      </c>
      <c r="Q9" s="558">
        <v>0</v>
      </c>
      <c r="R9" s="558">
        <v>0</v>
      </c>
    </row>
    <row r="10" spans="2:18" x14ac:dyDescent="0.25">
      <c r="B10" s="544" t="s">
        <v>343</v>
      </c>
      <c r="C10" s="545" t="s">
        <v>583</v>
      </c>
      <c r="D10" s="558">
        <f>4006047001/1000</f>
        <v>4006047.0010000002</v>
      </c>
      <c r="E10" s="558">
        <f>3152079001/1000</f>
        <v>3152079.0010000002</v>
      </c>
      <c r="F10" s="558">
        <f>853968000/1000</f>
        <v>853968</v>
      </c>
      <c r="G10" s="558">
        <f>239302000/1000</f>
        <v>239302</v>
      </c>
      <c r="H10" s="558">
        <v>0</v>
      </c>
      <c r="I10" s="558">
        <f>239302000/1000</f>
        <v>239302</v>
      </c>
      <c r="J10" s="558">
        <f>-54641000/1000</f>
        <v>-54641</v>
      </c>
      <c r="K10" s="558">
        <f>-22011000/1000</f>
        <v>-22011</v>
      </c>
      <c r="L10" s="558">
        <f>-32630000/1000</f>
        <v>-32630</v>
      </c>
      <c r="M10" s="558">
        <f>-84557000/1000</f>
        <v>-84557</v>
      </c>
      <c r="N10" s="558">
        <v>0</v>
      </c>
      <c r="O10" s="558">
        <f>-84557000/1000</f>
        <v>-84557</v>
      </c>
      <c r="P10" s="558">
        <v>0</v>
      </c>
      <c r="Q10" s="558">
        <v>0</v>
      </c>
      <c r="R10" s="558">
        <v>0</v>
      </c>
    </row>
    <row r="11" spans="2:18" x14ac:dyDescent="0.25">
      <c r="B11" s="546" t="s">
        <v>349</v>
      </c>
      <c r="C11" s="547" t="s">
        <v>584</v>
      </c>
      <c r="D11" s="559">
        <v>0</v>
      </c>
      <c r="E11" s="559">
        <v>0</v>
      </c>
      <c r="F11" s="559">
        <v>0</v>
      </c>
      <c r="G11" s="559">
        <v>0</v>
      </c>
      <c r="H11" s="558">
        <v>0</v>
      </c>
      <c r="I11" s="559">
        <v>0</v>
      </c>
      <c r="J11" s="558">
        <v>0</v>
      </c>
      <c r="K11" s="558">
        <v>0</v>
      </c>
      <c r="L11" s="558">
        <v>0</v>
      </c>
      <c r="M11" s="558">
        <v>0</v>
      </c>
      <c r="N11" s="558">
        <v>0</v>
      </c>
      <c r="O11" s="558">
        <v>0</v>
      </c>
      <c r="P11" s="558">
        <v>0</v>
      </c>
      <c r="Q11" s="558">
        <v>0</v>
      </c>
      <c r="R11" s="558">
        <v>0</v>
      </c>
    </row>
    <row r="12" spans="2:18" x14ac:dyDescent="0.25">
      <c r="B12" s="546" t="s">
        <v>585</v>
      </c>
      <c r="C12" s="547" t="s">
        <v>586</v>
      </c>
      <c r="D12" s="559">
        <v>15.984999999999999</v>
      </c>
      <c r="E12" s="559">
        <v>2.0920000000000001</v>
      </c>
      <c r="F12" s="559">
        <v>13.893000000000001</v>
      </c>
      <c r="G12" s="559">
        <v>0</v>
      </c>
      <c r="H12" s="558">
        <v>0</v>
      </c>
      <c r="I12" s="559">
        <v>0</v>
      </c>
      <c r="J12" s="558">
        <v>-2.0329999999999999</v>
      </c>
      <c r="K12" s="558">
        <v>-0.318</v>
      </c>
      <c r="L12" s="558">
        <v>-13.645</v>
      </c>
      <c r="M12" s="558">
        <v>0</v>
      </c>
      <c r="N12" s="558">
        <v>0</v>
      </c>
      <c r="O12" s="558">
        <v>0</v>
      </c>
      <c r="P12" s="558">
        <v>0</v>
      </c>
      <c r="Q12" s="558">
        <v>0</v>
      </c>
      <c r="R12" s="558">
        <v>0</v>
      </c>
    </row>
    <row r="13" spans="2:18" x14ac:dyDescent="0.25">
      <c r="B13" s="546" t="s">
        <v>587</v>
      </c>
      <c r="C13" s="547" t="s">
        <v>588</v>
      </c>
      <c r="D13" s="559">
        <v>0</v>
      </c>
      <c r="E13" s="559">
        <v>0</v>
      </c>
      <c r="F13" s="559">
        <v>0</v>
      </c>
      <c r="G13" s="559">
        <v>0</v>
      </c>
      <c r="H13" s="558">
        <v>0</v>
      </c>
      <c r="I13" s="559">
        <v>0</v>
      </c>
      <c r="J13" s="558">
        <v>0</v>
      </c>
      <c r="K13" s="558">
        <v>0</v>
      </c>
      <c r="L13" s="558">
        <v>0</v>
      </c>
      <c r="M13" s="558">
        <v>0</v>
      </c>
      <c r="N13" s="558">
        <v>0</v>
      </c>
      <c r="O13" s="558">
        <v>0</v>
      </c>
      <c r="P13" s="558">
        <v>0</v>
      </c>
      <c r="Q13" s="558">
        <v>0</v>
      </c>
      <c r="R13" s="558">
        <v>0</v>
      </c>
    </row>
    <row r="14" spans="2:18" ht="30" x14ac:dyDescent="0.25">
      <c r="B14" s="546" t="s">
        <v>589</v>
      </c>
      <c r="C14" s="547" t="s">
        <v>590</v>
      </c>
      <c r="D14" s="559">
        <f>777935313/1000</f>
        <v>777935.31299999997</v>
      </c>
      <c r="E14" s="559">
        <f>758344194/1000</f>
        <v>758344.19400000002</v>
      </c>
      <c r="F14" s="559">
        <f>19591120/1000</f>
        <v>19591.12</v>
      </c>
      <c r="G14" s="559">
        <f>4345470/1000</f>
        <v>4345.47</v>
      </c>
      <c r="H14" s="558">
        <v>0</v>
      </c>
      <c r="I14" s="559">
        <f>4345470/1000</f>
        <v>4345.47</v>
      </c>
      <c r="J14" s="558">
        <f>-2208844/1000</f>
        <v>-2208.8440000000001</v>
      </c>
      <c r="K14" s="558">
        <f>-957133/1000</f>
        <v>-957.13300000000004</v>
      </c>
      <c r="L14" s="558">
        <f>-1251712/1000</f>
        <v>-1251.712</v>
      </c>
      <c r="M14" s="558">
        <f>-2163672/1000</f>
        <v>-2163.672</v>
      </c>
      <c r="N14" s="558">
        <v>0</v>
      </c>
      <c r="O14" s="558">
        <f>-2163672/1000</f>
        <v>-2163.672</v>
      </c>
      <c r="P14" s="558">
        <v>0</v>
      </c>
      <c r="Q14" s="558">
        <v>0</v>
      </c>
      <c r="R14" s="558">
        <v>0</v>
      </c>
    </row>
    <row r="15" spans="2:18" x14ac:dyDescent="0.25">
      <c r="B15" s="546" t="s">
        <v>591</v>
      </c>
      <c r="C15" s="547" t="s">
        <v>592</v>
      </c>
      <c r="D15" s="559">
        <f>1569236601/1000</f>
        <v>1569236.601</v>
      </c>
      <c r="E15" s="559">
        <f>1116312275/1000</f>
        <v>1116312.2749999999</v>
      </c>
      <c r="F15" s="559">
        <f>452924326/1000</f>
        <v>452924.326</v>
      </c>
      <c r="G15" s="559">
        <f>134308398/1000</f>
        <v>134308.39799999999</v>
      </c>
      <c r="H15" s="558">
        <v>0</v>
      </c>
      <c r="I15" s="559">
        <f>-134308398/1000</f>
        <v>-134308.39799999999</v>
      </c>
      <c r="J15" s="558">
        <f>-26614721/1000</f>
        <v>-26614.721000000001</v>
      </c>
      <c r="K15" s="558">
        <f>-7436993/1000</f>
        <v>-7436.9930000000004</v>
      </c>
      <c r="L15" s="558">
        <f>-19177728/1000</f>
        <v>-19177.727999999999</v>
      </c>
      <c r="M15" s="558">
        <f>-33356209/1000</f>
        <v>-33356.209000000003</v>
      </c>
      <c r="N15" s="558">
        <v>0</v>
      </c>
      <c r="O15" s="558">
        <f>-33356209/1000</f>
        <v>-33356.209000000003</v>
      </c>
      <c r="P15" s="558">
        <v>0</v>
      </c>
      <c r="Q15" s="558">
        <v>0</v>
      </c>
      <c r="R15" s="558">
        <v>0</v>
      </c>
    </row>
    <row r="16" spans="2:18" x14ac:dyDescent="0.25">
      <c r="B16" s="546" t="s">
        <v>593</v>
      </c>
      <c r="C16" s="57" t="s">
        <v>594</v>
      </c>
      <c r="D16" s="559">
        <f>1569236601/1000</f>
        <v>1569236.601</v>
      </c>
      <c r="E16" s="559">
        <f>1116312275/1000</f>
        <v>1116312.2749999999</v>
      </c>
      <c r="F16" s="559">
        <f>452924326/1000</f>
        <v>452924.326</v>
      </c>
      <c r="G16" s="559">
        <f>134308398/1000</f>
        <v>134308.39799999999</v>
      </c>
      <c r="H16" s="558">
        <v>0</v>
      </c>
      <c r="I16" s="559">
        <f>-134308398/1000</f>
        <v>-134308.39799999999</v>
      </c>
      <c r="J16" s="558">
        <f>-26614721/1000</f>
        <v>-26614.721000000001</v>
      </c>
      <c r="K16" s="558">
        <f>-7436993/1000</f>
        <v>-7436.9930000000004</v>
      </c>
      <c r="L16" s="558">
        <f>-19177728/1000</f>
        <v>-19177.727999999999</v>
      </c>
      <c r="M16" s="558">
        <f>-33356209/1000</f>
        <v>-33356.209000000003</v>
      </c>
      <c r="N16" s="558">
        <v>0</v>
      </c>
      <c r="O16" s="558">
        <f>-33356209/1000</f>
        <v>-33356.209000000003</v>
      </c>
      <c r="P16" s="558">
        <v>0</v>
      </c>
      <c r="Q16" s="558">
        <v>0</v>
      </c>
      <c r="R16" s="558">
        <v>0</v>
      </c>
    </row>
    <row r="17" spans="2:18" x14ac:dyDescent="0.25">
      <c r="B17" s="546" t="s">
        <v>595</v>
      </c>
      <c r="C17" s="547" t="s">
        <v>596</v>
      </c>
      <c r="D17" s="559">
        <f>1658859102/1000</f>
        <v>1658859.102</v>
      </c>
      <c r="E17" s="559">
        <f>1277420441/1000</f>
        <v>1277420.4410000001</v>
      </c>
      <c r="F17" s="559">
        <f>381438661/1000</f>
        <v>381438.66100000002</v>
      </c>
      <c r="G17" s="559">
        <f>100648132/1000</f>
        <v>100648.132</v>
      </c>
      <c r="H17" s="558">
        <v>0</v>
      </c>
      <c r="I17" s="559">
        <f>100648132/1000</f>
        <v>100648.132</v>
      </c>
      <c r="J17" s="558">
        <f>-25803471/1000</f>
        <v>-25803.471000000001</v>
      </c>
      <c r="K17" s="558">
        <f>-13616556/1000</f>
        <v>-13616.556</v>
      </c>
      <c r="L17" s="558">
        <f>-12186915/1000</f>
        <v>-12186.915000000001</v>
      </c>
      <c r="M17" s="558">
        <f>-49037119/1000</f>
        <v>-49037.118999999999</v>
      </c>
      <c r="N17" s="558">
        <v>0</v>
      </c>
      <c r="O17" s="558">
        <f>-49037119/1000</f>
        <v>-49037.118999999999</v>
      </c>
      <c r="P17" s="558">
        <v>0</v>
      </c>
      <c r="Q17" s="558">
        <v>0</v>
      </c>
      <c r="R17" s="558">
        <v>0</v>
      </c>
    </row>
    <row r="18" spans="2:18" x14ac:dyDescent="0.25">
      <c r="B18" s="544" t="s">
        <v>597</v>
      </c>
      <c r="C18" s="545" t="s">
        <v>598</v>
      </c>
      <c r="D18" s="558">
        <v>0</v>
      </c>
      <c r="E18" s="558">
        <v>0</v>
      </c>
      <c r="F18" s="558">
        <v>0</v>
      </c>
      <c r="G18" s="558">
        <v>0</v>
      </c>
      <c r="H18" s="558">
        <v>0</v>
      </c>
      <c r="I18" s="558">
        <v>0</v>
      </c>
      <c r="J18" s="558">
        <v>0</v>
      </c>
      <c r="K18" s="558">
        <v>0</v>
      </c>
      <c r="L18" s="558">
        <v>0</v>
      </c>
      <c r="M18" s="558">
        <v>0</v>
      </c>
      <c r="N18" s="558">
        <v>0</v>
      </c>
      <c r="O18" s="558">
        <v>0</v>
      </c>
      <c r="P18" s="558">
        <v>0</v>
      </c>
      <c r="Q18" s="558">
        <v>0</v>
      </c>
      <c r="R18" s="558">
        <v>0</v>
      </c>
    </row>
    <row r="19" spans="2:18" x14ac:dyDescent="0.25">
      <c r="B19" s="546" t="s">
        <v>599</v>
      </c>
      <c r="C19" s="547" t="s">
        <v>584</v>
      </c>
      <c r="D19" s="559">
        <v>0</v>
      </c>
      <c r="E19" s="559">
        <v>0</v>
      </c>
      <c r="F19" s="559">
        <v>0</v>
      </c>
      <c r="G19" s="559">
        <v>0</v>
      </c>
      <c r="H19" s="558">
        <v>0</v>
      </c>
      <c r="I19" s="559">
        <v>0</v>
      </c>
      <c r="J19" s="558">
        <v>0</v>
      </c>
      <c r="K19" s="558">
        <v>0</v>
      </c>
      <c r="L19" s="558">
        <v>0</v>
      </c>
      <c r="M19" s="558">
        <v>0</v>
      </c>
      <c r="N19" s="558">
        <v>0</v>
      </c>
      <c r="O19" s="558">
        <v>0</v>
      </c>
      <c r="P19" s="558">
        <v>0</v>
      </c>
      <c r="Q19" s="558">
        <v>0</v>
      </c>
      <c r="R19" s="558">
        <v>0</v>
      </c>
    </row>
    <row r="20" spans="2:18" x14ac:dyDescent="0.25">
      <c r="B20" s="546" t="s">
        <v>600</v>
      </c>
      <c r="C20" s="547" t="s">
        <v>586</v>
      </c>
      <c r="D20" s="559">
        <v>0</v>
      </c>
      <c r="E20" s="559">
        <v>0</v>
      </c>
      <c r="F20" s="559">
        <v>0</v>
      </c>
      <c r="G20" s="559">
        <v>0</v>
      </c>
      <c r="H20" s="558">
        <v>0</v>
      </c>
      <c r="I20" s="559">
        <v>0</v>
      </c>
      <c r="J20" s="558">
        <v>0</v>
      </c>
      <c r="K20" s="558">
        <v>0</v>
      </c>
      <c r="L20" s="558">
        <v>0</v>
      </c>
      <c r="M20" s="558">
        <v>0</v>
      </c>
      <c r="N20" s="558">
        <v>0</v>
      </c>
      <c r="O20" s="558">
        <v>0</v>
      </c>
      <c r="P20" s="558">
        <v>0</v>
      </c>
      <c r="Q20" s="558">
        <v>0</v>
      </c>
      <c r="R20" s="558">
        <v>0</v>
      </c>
    </row>
    <row r="21" spans="2:18" x14ac:dyDescent="0.25">
      <c r="B21" s="546" t="s">
        <v>601</v>
      </c>
      <c r="C21" s="547" t="s">
        <v>588</v>
      </c>
      <c r="D21" s="559">
        <v>0</v>
      </c>
      <c r="E21" s="559">
        <v>0</v>
      </c>
      <c r="F21" s="559">
        <v>0</v>
      </c>
      <c r="G21" s="559">
        <v>0</v>
      </c>
      <c r="H21" s="558">
        <v>0</v>
      </c>
      <c r="I21" s="559">
        <v>0</v>
      </c>
      <c r="J21" s="558">
        <v>0</v>
      </c>
      <c r="K21" s="558">
        <v>0</v>
      </c>
      <c r="L21" s="558">
        <v>0</v>
      </c>
      <c r="M21" s="558">
        <v>0</v>
      </c>
      <c r="N21" s="558">
        <v>0</v>
      </c>
      <c r="O21" s="558">
        <v>0</v>
      </c>
      <c r="P21" s="558">
        <v>0</v>
      </c>
      <c r="Q21" s="558">
        <v>0</v>
      </c>
      <c r="R21" s="558">
        <v>0</v>
      </c>
    </row>
    <row r="22" spans="2:18" ht="30" x14ac:dyDescent="0.25">
      <c r="B22" s="546" t="s">
        <v>602</v>
      </c>
      <c r="C22" s="547" t="s">
        <v>590</v>
      </c>
      <c r="D22" s="559">
        <v>0</v>
      </c>
      <c r="E22" s="559">
        <v>0</v>
      </c>
      <c r="F22" s="559">
        <v>0</v>
      </c>
      <c r="G22" s="559">
        <v>0</v>
      </c>
      <c r="H22" s="558">
        <v>0</v>
      </c>
      <c r="I22" s="559">
        <v>0</v>
      </c>
      <c r="J22" s="558">
        <v>0</v>
      </c>
      <c r="K22" s="558">
        <v>0</v>
      </c>
      <c r="L22" s="558">
        <v>0</v>
      </c>
      <c r="M22" s="558">
        <v>0</v>
      </c>
      <c r="N22" s="558">
        <v>0</v>
      </c>
      <c r="O22" s="558">
        <v>0</v>
      </c>
      <c r="P22" s="558">
        <v>0</v>
      </c>
      <c r="Q22" s="558">
        <v>0</v>
      </c>
      <c r="R22" s="558">
        <v>0</v>
      </c>
    </row>
    <row r="23" spans="2:18" x14ac:dyDescent="0.25">
      <c r="B23" s="546" t="s">
        <v>603</v>
      </c>
      <c r="C23" s="547" t="s">
        <v>592</v>
      </c>
      <c r="D23" s="559">
        <v>0</v>
      </c>
      <c r="E23" s="559">
        <v>0</v>
      </c>
      <c r="F23" s="559">
        <v>0</v>
      </c>
      <c r="G23" s="559">
        <v>0</v>
      </c>
      <c r="H23" s="558">
        <v>0</v>
      </c>
      <c r="I23" s="559">
        <v>0</v>
      </c>
      <c r="J23" s="558">
        <v>0</v>
      </c>
      <c r="K23" s="558">
        <v>0</v>
      </c>
      <c r="L23" s="558">
        <v>0</v>
      </c>
      <c r="M23" s="558">
        <v>0</v>
      </c>
      <c r="N23" s="558">
        <v>0</v>
      </c>
      <c r="O23" s="558">
        <v>0</v>
      </c>
      <c r="P23" s="558">
        <v>0</v>
      </c>
      <c r="Q23" s="558">
        <v>0</v>
      </c>
      <c r="R23" s="558">
        <v>0</v>
      </c>
    </row>
    <row r="24" spans="2:18" ht="30" x14ac:dyDescent="0.25">
      <c r="B24" s="544" t="s">
        <v>604</v>
      </c>
      <c r="C24" s="545" t="s">
        <v>415</v>
      </c>
      <c r="D24" s="558">
        <f>3821804896/1000</f>
        <v>3821804.8960000002</v>
      </c>
      <c r="E24" s="558">
        <f>3558483239/1000</f>
        <v>3558483.2390000001</v>
      </c>
      <c r="F24" s="558">
        <f>263321656/1000</f>
        <v>263321.65600000002</v>
      </c>
      <c r="G24" s="558">
        <f>31949291/1000</f>
        <v>31949.291000000001</v>
      </c>
      <c r="H24" s="558">
        <v>0</v>
      </c>
      <c r="I24" s="558">
        <f>31949291/1000</f>
        <v>31949.291000000001</v>
      </c>
      <c r="J24" s="558">
        <f>16170000/1000</f>
        <v>16170</v>
      </c>
      <c r="K24" s="558">
        <f>10669000/1000</f>
        <v>10669</v>
      </c>
      <c r="L24" s="558">
        <f>5501000/1000</f>
        <v>5501</v>
      </c>
      <c r="M24" s="558">
        <f>5485000/1000</f>
        <v>5485</v>
      </c>
      <c r="N24" s="558">
        <v>0</v>
      </c>
      <c r="O24" s="558">
        <f>5485000/1000</f>
        <v>5485</v>
      </c>
      <c r="P24" s="560"/>
      <c r="Q24" s="558">
        <v>0</v>
      </c>
      <c r="R24" s="558">
        <v>0</v>
      </c>
    </row>
    <row r="25" spans="2:18" x14ac:dyDescent="0.25">
      <c r="B25" s="546" t="s">
        <v>605</v>
      </c>
      <c r="C25" s="547" t="s">
        <v>584</v>
      </c>
      <c r="D25" s="558">
        <v>0</v>
      </c>
      <c r="E25" s="558">
        <v>0</v>
      </c>
      <c r="F25" s="558">
        <v>0</v>
      </c>
      <c r="G25" s="558">
        <v>0</v>
      </c>
      <c r="H25" s="558">
        <v>0</v>
      </c>
      <c r="I25" s="558">
        <v>0</v>
      </c>
      <c r="J25" s="558">
        <v>0</v>
      </c>
      <c r="K25" s="558">
        <v>0</v>
      </c>
      <c r="L25" s="558">
        <v>0</v>
      </c>
      <c r="M25" s="558">
        <v>0</v>
      </c>
      <c r="N25" s="558">
        <v>0</v>
      </c>
      <c r="O25" s="558">
        <v>0</v>
      </c>
      <c r="P25" s="560"/>
      <c r="Q25" s="558">
        <v>0</v>
      </c>
      <c r="R25" s="558">
        <v>0</v>
      </c>
    </row>
    <row r="26" spans="2:18" x14ac:dyDescent="0.25">
      <c r="B26" s="546" t="s">
        <v>606</v>
      </c>
      <c r="C26" s="547" t="s">
        <v>586</v>
      </c>
      <c r="D26" s="558">
        <f>(1634265+2687983)/1000</f>
        <v>4322.2479999999996</v>
      </c>
      <c r="E26" s="558">
        <f>(1298158+1316166)/1000</f>
        <v>2614.3240000000001</v>
      </c>
      <c r="F26" s="558">
        <f>(336107+1371816)/1000</f>
        <v>1707.923</v>
      </c>
      <c r="G26" s="558">
        <v>0</v>
      </c>
      <c r="H26" s="558">
        <v>0</v>
      </c>
      <c r="I26" s="558">
        <v>0</v>
      </c>
      <c r="J26" s="558">
        <f>(82554+204782)/1000</f>
        <v>287.33600000000001</v>
      </c>
      <c r="K26" s="558">
        <f>204782/1000</f>
        <v>204.78200000000001</v>
      </c>
      <c r="L26" s="558">
        <f>82554/1000</f>
        <v>82.554000000000002</v>
      </c>
      <c r="M26" s="558">
        <v>0</v>
      </c>
      <c r="N26" s="558">
        <v>0</v>
      </c>
      <c r="O26" s="558">
        <v>0</v>
      </c>
      <c r="P26" s="560"/>
      <c r="Q26" s="558">
        <v>0</v>
      </c>
      <c r="R26" s="558">
        <v>0</v>
      </c>
    </row>
    <row r="27" spans="2:18" x14ac:dyDescent="0.25">
      <c r="B27" s="546" t="s">
        <v>607</v>
      </c>
      <c r="C27" s="547" t="s">
        <v>588</v>
      </c>
      <c r="D27" s="558">
        <f>(45176061+31540002)/1000</f>
        <v>76716.062999999995</v>
      </c>
      <c r="E27" s="558">
        <f>(45176061+31540002)/1000</f>
        <v>76716.062999999995</v>
      </c>
      <c r="F27" s="558">
        <v>0</v>
      </c>
      <c r="G27" s="558">
        <v>0</v>
      </c>
      <c r="H27" s="558">
        <v>0</v>
      </c>
      <c r="I27" s="558">
        <v>0</v>
      </c>
      <c r="J27" s="558">
        <f>2000000/1000</f>
        <v>2000</v>
      </c>
      <c r="K27" s="558">
        <f>2000000/1000</f>
        <v>2000</v>
      </c>
      <c r="L27" s="558">
        <v>0</v>
      </c>
      <c r="M27" s="558">
        <v>0</v>
      </c>
      <c r="N27" s="558">
        <v>0</v>
      </c>
      <c r="O27" s="558">
        <v>0</v>
      </c>
      <c r="P27" s="560"/>
      <c r="Q27" s="558">
        <v>0</v>
      </c>
      <c r="R27" s="558">
        <v>0</v>
      </c>
    </row>
    <row r="28" spans="2:18" ht="30" x14ac:dyDescent="0.25">
      <c r="B28" s="546" t="s">
        <v>608</v>
      </c>
      <c r="C28" s="547" t="s">
        <v>590</v>
      </c>
      <c r="D28" s="558">
        <f>(82949341+9312893)/1000</f>
        <v>92262.233999999997</v>
      </c>
      <c r="E28" s="558">
        <f>(81648270+7559423)/1000</f>
        <v>89207.692999999999</v>
      </c>
      <c r="F28" s="558">
        <f>(1301071+1753470)/1000</f>
        <v>3054.5410000000002</v>
      </c>
      <c r="G28" s="558">
        <v>14.736000000000001</v>
      </c>
      <c r="H28" s="558">
        <v>0</v>
      </c>
      <c r="I28" s="558">
        <v>14.736000000000001</v>
      </c>
      <c r="J28" s="558">
        <f>(30550+49448)/1000</f>
        <v>79.998000000000005</v>
      </c>
      <c r="K28" s="558">
        <f>(30334+49229)/1000</f>
        <v>79.563000000000002</v>
      </c>
      <c r="L28" s="558">
        <f>(216+219)/1000</f>
        <v>0.435</v>
      </c>
      <c r="M28" s="558">
        <v>14.736000000000001</v>
      </c>
      <c r="N28" s="558">
        <v>0</v>
      </c>
      <c r="O28" s="558">
        <v>14.736000000000001</v>
      </c>
      <c r="P28" s="560"/>
      <c r="Q28" s="558">
        <v>0</v>
      </c>
      <c r="R28" s="558">
        <v>0</v>
      </c>
    </row>
    <row r="29" spans="2:18" x14ac:dyDescent="0.25">
      <c r="B29" s="546" t="s">
        <v>609</v>
      </c>
      <c r="C29" s="547" t="s">
        <v>592</v>
      </c>
      <c r="D29" s="558">
        <f>(1154967600+232172549)/1000</f>
        <v>1387140.149</v>
      </c>
      <c r="E29" s="558">
        <f>(1083144929+204577752)/1000</f>
        <v>1287722.6810000001</v>
      </c>
      <c r="F29" s="558">
        <f>(71822671+27594797)/1000</f>
        <v>99417.467999999993</v>
      </c>
      <c r="G29" s="558">
        <f>(6726722+2599643)/1000</f>
        <v>9326.3649999999998</v>
      </c>
      <c r="H29" s="558">
        <v>0</v>
      </c>
      <c r="I29" s="558">
        <f>(6726722+2599643)/1000</f>
        <v>9326.3649999999998</v>
      </c>
      <c r="J29" s="558">
        <f>(2729174+1855671)/1000</f>
        <v>4584.8450000000003</v>
      </c>
      <c r="K29" s="558">
        <f>(1469049+1451698)/1000</f>
        <v>2920.7469999999998</v>
      </c>
      <c r="L29" s="558">
        <f>(1260125+403974)/1000</f>
        <v>1664.0989999999999</v>
      </c>
      <c r="M29" s="558">
        <f>(678654+400254)/1000</f>
        <v>1078.9079999999999</v>
      </c>
      <c r="N29" s="558">
        <v>0</v>
      </c>
      <c r="O29" s="558">
        <f>(678654+400254)/1000</f>
        <v>1078.9079999999999</v>
      </c>
      <c r="P29" s="560"/>
      <c r="Q29" s="558">
        <v>0</v>
      </c>
      <c r="R29" s="558">
        <v>0</v>
      </c>
    </row>
    <row r="30" spans="2:18" x14ac:dyDescent="0.25">
      <c r="B30" s="546" t="s">
        <v>610</v>
      </c>
      <c r="C30" s="547" t="s">
        <v>596</v>
      </c>
      <c r="D30" s="558">
        <f>(1367498544+893865658)/1000</f>
        <v>2261364.202</v>
      </c>
      <c r="E30" s="558">
        <f>(1278290446+823932032)/1000</f>
        <v>2102222.4780000001</v>
      </c>
      <c r="F30" s="558">
        <f>(89208098+69933626)/1000</f>
        <v>159141.72399999999</v>
      </c>
      <c r="G30" s="558">
        <f>(4675529+17932660)/1000</f>
        <v>22608.188999999998</v>
      </c>
      <c r="H30" s="558">
        <v>0</v>
      </c>
      <c r="I30" s="558">
        <f>(4675529+17932660)/1000</f>
        <v>22608.188999999998</v>
      </c>
      <c r="J30" s="558">
        <f>(4038710+5179110)/1000</f>
        <v>9217.82</v>
      </c>
      <c r="K30" s="558">
        <f>(2221885+3242023)/1000</f>
        <v>5463.9080000000004</v>
      </c>
      <c r="L30" s="558">
        <f>(1816825+1937087)/1000</f>
        <v>3753.9119999999998</v>
      </c>
      <c r="M30" s="558">
        <f>(1861041+2530315)/1000</f>
        <v>4391.3559999999998</v>
      </c>
      <c r="N30" s="558">
        <v>0</v>
      </c>
      <c r="O30" s="558">
        <f>(1861041+2530315)/1000</f>
        <v>4391.3559999999998</v>
      </c>
      <c r="P30" s="560"/>
      <c r="Q30" s="558">
        <v>0</v>
      </c>
      <c r="R30" s="558">
        <v>0</v>
      </c>
    </row>
    <row r="31" spans="2:18" x14ac:dyDescent="0.25">
      <c r="B31" s="548" t="s">
        <v>611</v>
      </c>
      <c r="C31" s="549" t="s">
        <v>0</v>
      </c>
      <c r="D31" s="561">
        <f>+D9+D10+D18+D24</f>
        <v>8676945.4020000007</v>
      </c>
      <c r="E31" s="561">
        <f t="shared" ref="E31:J31" si="0">+E9+E10+E18+E24</f>
        <v>7559655.7450000001</v>
      </c>
      <c r="F31" s="561">
        <f t="shared" si="0"/>
        <v>1117289.656</v>
      </c>
      <c r="G31" s="561">
        <f t="shared" si="0"/>
        <v>271251.29100000003</v>
      </c>
      <c r="H31" s="561">
        <f t="shared" si="0"/>
        <v>0</v>
      </c>
      <c r="I31" s="561">
        <f t="shared" si="0"/>
        <v>271251.29100000003</v>
      </c>
      <c r="J31" s="561">
        <f t="shared" si="0"/>
        <v>-38471</v>
      </c>
      <c r="K31" s="561">
        <f t="shared" ref="K31:L31" si="1">+K9+K10+K18+K24</f>
        <v>-11342</v>
      </c>
      <c r="L31" s="561">
        <f t="shared" si="1"/>
        <v>-27129</v>
      </c>
      <c r="M31" s="561">
        <f>+M9+M10+M18+M24</f>
        <v>-79072</v>
      </c>
      <c r="N31" s="561">
        <f>+N9+N10+N18+N24</f>
        <v>0</v>
      </c>
      <c r="O31" s="561">
        <f>+O9+O10+O18+O24</f>
        <v>-79072</v>
      </c>
      <c r="P31" s="561">
        <f t="shared" ref="P31:R31" si="2">+P9+P10+P18+P24</f>
        <v>0</v>
      </c>
      <c r="Q31" s="561">
        <f t="shared" si="2"/>
        <v>0</v>
      </c>
      <c r="R31" s="561">
        <f t="shared" si="2"/>
        <v>0</v>
      </c>
    </row>
  </sheetData>
  <mergeCells count="11">
    <mergeCell ref="B7:C7"/>
    <mergeCell ref="D6:I6"/>
    <mergeCell ref="J6:O6"/>
    <mergeCell ref="P6:P7"/>
    <mergeCell ref="Q6:R6"/>
    <mergeCell ref="D7:F7"/>
    <mergeCell ref="G7:I7"/>
    <mergeCell ref="J7:L7"/>
    <mergeCell ref="M7:O7"/>
    <mergeCell ref="Q7:Q8"/>
    <mergeCell ref="R7:R8"/>
  </mergeCells>
  <hyperlinks>
    <hyperlink ref="B2" location="Indhold!B21" display="Skema EU CR1: Ikkemisligholdte og misligholdte eksponeringer og dertil knyttede bestemmelser. " xr:uid="{5CC4DE6C-6CC9-4301-AC72-FE8ED32A62F7}"/>
  </hyperlinks>
  <pageMargins left="0.70866141732283472" right="0.70866141732283472" top="0.74803149606299213" bottom="0.74803149606299213" header="0.31496062992125984" footer="0.31496062992125984"/>
  <pageSetup paperSize="9" scale="77" fitToHeight="0" orientation="landscape" r:id="rId1"/>
  <headerFooter>
    <oddHeader>&amp;CDA
Bilag XV</oddHead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BADB5-A208-4CE5-A78F-166854033580}">
  <sheetPr>
    <pageSetUpPr fitToPage="1"/>
  </sheetPr>
  <dimension ref="B2:I14"/>
  <sheetViews>
    <sheetView showGridLines="0" zoomScaleNormal="100" workbookViewId="0">
      <selection activeCell="F1" sqref="F1"/>
    </sheetView>
  </sheetViews>
  <sheetFormatPr defaultRowHeight="15" x14ac:dyDescent="0.25"/>
  <cols>
    <col min="1" max="1" width="7.140625" customWidth="1"/>
    <col min="2" max="2" width="6.140625" customWidth="1"/>
    <col min="3" max="3" width="27" customWidth="1"/>
    <col min="4" max="4" width="18.5703125" bestFit="1" customWidth="1"/>
    <col min="5" max="5" width="10.7109375" customWidth="1"/>
    <col min="6" max="6" width="21.85546875" customWidth="1"/>
    <col min="7" max="7" width="13.140625" customWidth="1"/>
    <col min="8" max="8" width="11.42578125" customWidth="1"/>
    <col min="9" max="9" width="10.85546875" customWidth="1"/>
  </cols>
  <sheetData>
    <row r="2" spans="2:9" x14ac:dyDescent="0.25">
      <c r="B2" s="866" t="s">
        <v>612</v>
      </c>
    </row>
    <row r="3" spans="2:9" ht="15" customHeight="1" x14ac:dyDescent="0.3">
      <c r="B3" s="416"/>
    </row>
    <row r="4" spans="2:9" x14ac:dyDescent="0.25">
      <c r="B4" s="177"/>
    </row>
    <row r="5" spans="2:9" x14ac:dyDescent="0.25">
      <c r="B5" s="555"/>
      <c r="C5" s="505"/>
      <c r="D5" s="484" t="s">
        <v>103</v>
      </c>
      <c r="E5" s="484" t="s">
        <v>102</v>
      </c>
      <c r="F5" s="484" t="s">
        <v>97</v>
      </c>
      <c r="G5" s="484" t="s">
        <v>96</v>
      </c>
      <c r="H5" s="484" t="s">
        <v>95</v>
      </c>
      <c r="I5" s="484" t="s">
        <v>111</v>
      </c>
    </row>
    <row r="6" spans="2:9" x14ac:dyDescent="0.25">
      <c r="B6" s="505"/>
      <c r="C6" s="505"/>
      <c r="D6" s="1061" t="s">
        <v>613</v>
      </c>
      <c r="E6" s="1061"/>
      <c r="F6" s="1061"/>
      <c r="G6" s="1061"/>
      <c r="H6" s="1061"/>
      <c r="I6" s="1061"/>
    </row>
    <row r="7" spans="2:9" ht="42" customHeight="1" x14ac:dyDescent="0.25">
      <c r="B7" s="937" t="s">
        <v>1423</v>
      </c>
      <c r="C7" s="1062"/>
      <c r="D7" s="464" t="s">
        <v>614</v>
      </c>
      <c r="E7" s="464" t="s">
        <v>615</v>
      </c>
      <c r="F7" s="464" t="s">
        <v>616</v>
      </c>
      <c r="G7" s="464" t="s">
        <v>617</v>
      </c>
      <c r="H7" s="464" t="s">
        <v>618</v>
      </c>
      <c r="I7" s="464" t="s">
        <v>0</v>
      </c>
    </row>
    <row r="8" spans="2:9" x14ac:dyDescent="0.25">
      <c r="B8" s="132">
        <v>1</v>
      </c>
      <c r="C8" s="179" t="s">
        <v>583</v>
      </c>
      <c r="D8" s="556">
        <v>1169358</v>
      </c>
      <c r="E8" s="556">
        <f>244171+450080</f>
        <v>694251</v>
      </c>
      <c r="F8" s="556">
        <v>1058529</v>
      </c>
      <c r="G8" s="556">
        <v>1184013</v>
      </c>
      <c r="H8" s="556">
        <v>0</v>
      </c>
      <c r="I8" s="556">
        <f>SUM(D8:H8)</f>
        <v>4106151</v>
      </c>
    </row>
    <row r="9" spans="2:9" x14ac:dyDescent="0.25">
      <c r="B9" s="132">
        <v>2</v>
      </c>
      <c r="C9" s="179" t="s">
        <v>598</v>
      </c>
      <c r="D9" s="557">
        <v>0</v>
      </c>
      <c r="E9" s="557">
        <v>0</v>
      </c>
      <c r="F9" s="557">
        <v>0</v>
      </c>
      <c r="G9" s="557">
        <v>0</v>
      </c>
      <c r="H9" s="557">
        <v>0</v>
      </c>
      <c r="I9" s="557">
        <v>0</v>
      </c>
    </row>
    <row r="10" spans="2:9" x14ac:dyDescent="0.25">
      <c r="B10" s="180">
        <v>3</v>
      </c>
      <c r="C10" s="181" t="s">
        <v>0</v>
      </c>
      <c r="D10" s="557">
        <f>SUM(D8:D9)</f>
        <v>1169358</v>
      </c>
      <c r="E10" s="557">
        <f t="shared" ref="E10:I10" si="0">SUM(E8:E9)</f>
        <v>694251</v>
      </c>
      <c r="F10" s="557">
        <f t="shared" si="0"/>
        <v>1058529</v>
      </c>
      <c r="G10" s="557">
        <f t="shared" si="0"/>
        <v>1184013</v>
      </c>
      <c r="H10" s="557">
        <f t="shared" si="0"/>
        <v>0</v>
      </c>
      <c r="I10" s="557">
        <f t="shared" si="0"/>
        <v>4106151</v>
      </c>
    </row>
    <row r="14" spans="2:9" x14ac:dyDescent="0.25">
      <c r="I14" s="353"/>
    </row>
  </sheetData>
  <mergeCells count="2">
    <mergeCell ref="D6:I6"/>
    <mergeCell ref="B7:C7"/>
  </mergeCells>
  <hyperlinks>
    <hyperlink ref="B2" location="Indhold!B24" display="Skema EU CR1-A: Løbetid på eksponeringer" xr:uid="{6C46E22A-AF5C-4F42-8B3B-1FCE3C76B78F}"/>
  </hyperlinks>
  <pageMargins left="0.70866141732283472" right="0.70866141732283472" top="0.74803149606299213" bottom="0.74803149606299213" header="0.31496062992125984" footer="0.31496062992125984"/>
  <pageSetup paperSize="9" orientation="landscape" r:id="rId1"/>
  <headerFooter>
    <oddHeader>&amp;CDA
Bilag XV</oddHead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21713-7161-4D22-B3E5-7239387ED030}">
  <sheetPr>
    <pageSetUpPr fitToPage="1"/>
  </sheetPr>
  <dimension ref="B2:E12"/>
  <sheetViews>
    <sheetView showGridLines="0" zoomScaleNormal="100" workbookViewId="0">
      <selection activeCell="F1" sqref="F1"/>
    </sheetView>
  </sheetViews>
  <sheetFormatPr defaultRowHeight="15" x14ac:dyDescent="0.25"/>
  <cols>
    <col min="1" max="1" width="7" customWidth="1"/>
    <col min="2" max="2" width="4.7109375" customWidth="1"/>
    <col min="3" max="3" width="58.5703125" customWidth="1"/>
    <col min="4" max="4" width="27.28515625" customWidth="1"/>
    <col min="6" max="6" width="3.28515625" customWidth="1"/>
  </cols>
  <sheetData>
    <row r="2" spans="2:5" x14ac:dyDescent="0.25">
      <c r="B2" s="866" t="s">
        <v>619</v>
      </c>
      <c r="C2" s="1"/>
      <c r="D2" s="1"/>
    </row>
    <row r="3" spans="2:5" ht="15.75" x14ac:dyDescent="0.25">
      <c r="B3" s="182"/>
      <c r="C3" s="183"/>
      <c r="D3" s="1"/>
      <c r="E3" s="1"/>
    </row>
    <row r="4" spans="2:5" ht="15.75" x14ac:dyDescent="0.25">
      <c r="B4" s="182"/>
      <c r="C4" s="183"/>
      <c r="D4" s="183"/>
      <c r="E4" s="1"/>
    </row>
    <row r="5" spans="2:5" x14ac:dyDescent="0.25">
      <c r="B5" s="441"/>
      <c r="C5" s="440"/>
      <c r="D5" s="464" t="s">
        <v>103</v>
      </c>
      <c r="E5" s="1"/>
    </row>
    <row r="6" spans="2:5" ht="30" x14ac:dyDescent="0.25">
      <c r="B6" s="441" t="s">
        <v>1423</v>
      </c>
      <c r="C6" s="440"/>
      <c r="D6" s="565" t="s">
        <v>620</v>
      </c>
      <c r="E6" s="1"/>
    </row>
    <row r="7" spans="2:5" ht="25.5" customHeight="1" x14ac:dyDescent="0.25">
      <c r="B7" s="566" t="s">
        <v>343</v>
      </c>
      <c r="C7" s="5" t="s">
        <v>621</v>
      </c>
      <c r="D7" s="567">
        <v>253031</v>
      </c>
      <c r="E7" s="1"/>
    </row>
    <row r="8" spans="2:5" ht="25.5" customHeight="1" x14ac:dyDescent="0.25">
      <c r="B8" s="568" t="s">
        <v>349</v>
      </c>
      <c r="C8" s="9" t="s">
        <v>622</v>
      </c>
      <c r="D8" s="567">
        <v>6314</v>
      </c>
      <c r="E8" s="887"/>
    </row>
    <row r="9" spans="2:5" ht="25.5" customHeight="1" x14ac:dyDescent="0.25">
      <c r="B9" s="568" t="s">
        <v>585</v>
      </c>
      <c r="C9" s="9" t="s">
        <v>623</v>
      </c>
      <c r="D9" s="567">
        <v>-20043</v>
      </c>
      <c r="E9" s="1"/>
    </row>
    <row r="10" spans="2:5" ht="25.5" customHeight="1" x14ac:dyDescent="0.25">
      <c r="B10" s="568" t="s">
        <v>587</v>
      </c>
      <c r="C10" s="11" t="s">
        <v>624</v>
      </c>
      <c r="D10" s="567">
        <v>-12982</v>
      </c>
      <c r="E10" s="1"/>
    </row>
    <row r="11" spans="2:5" ht="25.5" customHeight="1" x14ac:dyDescent="0.25">
      <c r="B11" s="568" t="s">
        <v>589</v>
      </c>
      <c r="C11" s="11" t="s">
        <v>625</v>
      </c>
      <c r="D11" s="567">
        <f>+D9-D10</f>
        <v>-7061</v>
      </c>
      <c r="E11" s="1"/>
    </row>
    <row r="12" spans="2:5" ht="25.5" customHeight="1" x14ac:dyDescent="0.25">
      <c r="B12" s="566" t="s">
        <v>591</v>
      </c>
      <c r="C12" s="5" t="s">
        <v>626</v>
      </c>
      <c r="D12" s="567">
        <v>239302</v>
      </c>
      <c r="E12" s="887"/>
    </row>
  </sheetData>
  <hyperlinks>
    <hyperlink ref="B2" location="Indhold!B25" display="Skema EU CR2: Ændringer i beholdningen af misligholdte lån og forskud" xr:uid="{F77C5E72-B802-4A9D-9854-905B38AC6B49}"/>
  </hyperlinks>
  <pageMargins left="0.70866141732283472" right="0.70866141732283472" top="0.74803149606299213" bottom="0.74803149606299213" header="0.31496062992125984" footer="0.31496062992125984"/>
  <pageSetup paperSize="9" orientation="landscape" r:id="rId1"/>
  <headerFooter>
    <oddHeader>&amp;CDA
Bilag XV</oddHeader>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F2B44-664C-4AB2-A7F3-4DC81BC740EE}">
  <sheetPr>
    <pageSetUpPr fitToPage="1"/>
  </sheetPr>
  <dimension ref="B2:K19"/>
  <sheetViews>
    <sheetView showGridLines="0" zoomScaleNormal="100" workbookViewId="0">
      <selection activeCell="F1" sqref="F1"/>
    </sheetView>
  </sheetViews>
  <sheetFormatPr defaultRowHeight="15" x14ac:dyDescent="0.25"/>
  <cols>
    <col min="3" max="3" width="59.140625" bestFit="1" customWidth="1"/>
    <col min="5" max="5" width="8" bestFit="1" customWidth="1"/>
    <col min="8" max="8" width="14.42578125" customWidth="1"/>
    <col min="9" max="9" width="17" customWidth="1"/>
    <col min="10" max="10" width="17.85546875" customWidth="1"/>
    <col min="11" max="11" width="18.5703125" customWidth="1"/>
  </cols>
  <sheetData>
    <row r="2" spans="2:11" x14ac:dyDescent="0.25">
      <c r="B2" s="866" t="s">
        <v>636</v>
      </c>
    </row>
    <row r="3" spans="2:11" ht="15.75" x14ac:dyDescent="0.25">
      <c r="B3" s="164"/>
      <c r="C3" s="165"/>
      <c r="D3" s="165"/>
      <c r="E3" s="165"/>
      <c r="F3" s="165"/>
      <c r="G3" s="165"/>
      <c r="H3" s="165"/>
      <c r="I3" s="165"/>
      <c r="J3" s="165"/>
      <c r="K3" s="165"/>
    </row>
    <row r="4" spans="2:11" ht="15.75" x14ac:dyDescent="0.25">
      <c r="B4" s="164"/>
      <c r="C4" s="816"/>
      <c r="D4" s="816"/>
      <c r="E4" s="816"/>
      <c r="F4" s="816"/>
      <c r="G4" s="816"/>
      <c r="H4" s="816"/>
      <c r="I4" s="816"/>
      <c r="J4" s="816"/>
      <c r="K4" s="816"/>
    </row>
    <row r="5" spans="2:11" ht="23.25" customHeight="1" x14ac:dyDescent="0.25">
      <c r="B5" s="540"/>
      <c r="C5" s="540"/>
      <c r="D5" s="562" t="s">
        <v>103</v>
      </c>
      <c r="E5" s="562" t="s">
        <v>102</v>
      </c>
      <c r="F5" s="562" t="s">
        <v>97</v>
      </c>
      <c r="G5" s="562" t="s">
        <v>96</v>
      </c>
      <c r="H5" s="562" t="s">
        <v>95</v>
      </c>
      <c r="I5" s="562" t="s">
        <v>111</v>
      </c>
      <c r="J5" s="562" t="s">
        <v>112</v>
      </c>
      <c r="K5" s="562" t="s">
        <v>164</v>
      </c>
    </row>
    <row r="6" spans="2:11" ht="49.5" customHeight="1" x14ac:dyDescent="0.25">
      <c r="B6" s="540"/>
      <c r="C6" s="540"/>
      <c r="D6" s="1063" t="s">
        <v>637</v>
      </c>
      <c r="E6" s="1063"/>
      <c r="F6" s="1063"/>
      <c r="G6" s="1063"/>
      <c r="H6" s="1063" t="s">
        <v>572</v>
      </c>
      <c r="I6" s="1063"/>
      <c r="J6" s="1063" t="s">
        <v>638</v>
      </c>
      <c r="K6" s="1063"/>
    </row>
    <row r="7" spans="2:11" ht="30" customHeight="1" x14ac:dyDescent="0.25">
      <c r="B7" s="540"/>
      <c r="C7" s="540"/>
      <c r="D7" s="1064" t="s">
        <v>1593</v>
      </c>
      <c r="E7" s="1066" t="s">
        <v>1594</v>
      </c>
      <c r="F7" s="1066"/>
      <c r="G7" s="1066"/>
      <c r="H7" s="1067" t="s">
        <v>639</v>
      </c>
      <c r="I7" s="1067" t="s">
        <v>640</v>
      </c>
      <c r="J7" s="569"/>
      <c r="K7" s="1067" t="s">
        <v>641</v>
      </c>
    </row>
    <row r="8" spans="2:11" ht="66.75" customHeight="1" x14ac:dyDescent="0.25">
      <c r="B8" s="441" t="s">
        <v>1423</v>
      </c>
      <c r="C8" s="540"/>
      <c r="D8" s="1065"/>
      <c r="E8" s="570"/>
      <c r="F8" s="563" t="s">
        <v>1255</v>
      </c>
      <c r="G8" s="571" t="s">
        <v>1256</v>
      </c>
      <c r="H8" s="1068"/>
      <c r="I8" s="1068"/>
      <c r="J8" s="572"/>
      <c r="K8" s="1068"/>
    </row>
    <row r="9" spans="2:11" x14ac:dyDescent="0.25">
      <c r="B9" s="573" t="s">
        <v>581</v>
      </c>
      <c r="C9" s="574" t="s">
        <v>582</v>
      </c>
      <c r="D9" s="575">
        <v>0</v>
      </c>
      <c r="E9" s="575">
        <v>0</v>
      </c>
      <c r="F9" s="575">
        <v>0</v>
      </c>
      <c r="G9" s="575">
        <v>0</v>
      </c>
      <c r="H9" s="575">
        <v>0</v>
      </c>
      <c r="I9" s="575">
        <v>0</v>
      </c>
      <c r="J9" s="575">
        <v>0</v>
      </c>
      <c r="K9" s="576">
        <v>0</v>
      </c>
    </row>
    <row r="10" spans="2:11" x14ac:dyDescent="0.25">
      <c r="B10" s="573" t="s">
        <v>343</v>
      </c>
      <c r="C10" s="574" t="s">
        <v>583</v>
      </c>
      <c r="D10" s="575">
        <v>0</v>
      </c>
      <c r="E10" s="575">
        <f>42336935/1000</f>
        <v>42336.934999999998</v>
      </c>
      <c r="F10" s="575">
        <f>42336935/1000</f>
        <v>42336.934999999998</v>
      </c>
      <c r="G10" s="575">
        <f>39990997/1000</f>
        <v>39990.997000000003</v>
      </c>
      <c r="H10" s="575">
        <v>0</v>
      </c>
      <c r="I10" s="575">
        <f>-29325391/1000</f>
        <v>-29325.391</v>
      </c>
      <c r="J10" s="575">
        <v>0</v>
      </c>
      <c r="K10" s="576">
        <v>0</v>
      </c>
    </row>
    <row r="11" spans="2:11" x14ac:dyDescent="0.25">
      <c r="B11" s="577" t="s">
        <v>349</v>
      </c>
      <c r="C11" s="578" t="s">
        <v>584</v>
      </c>
      <c r="D11" s="575">
        <v>0</v>
      </c>
      <c r="E11" s="575">
        <v>0</v>
      </c>
      <c r="F11" s="575">
        <v>0</v>
      </c>
      <c r="G11" s="575">
        <v>0</v>
      </c>
      <c r="H11" s="575">
        <v>0</v>
      </c>
      <c r="I11" s="575">
        <v>0</v>
      </c>
      <c r="J11" s="575">
        <v>0</v>
      </c>
      <c r="K11" s="576">
        <v>0</v>
      </c>
    </row>
    <row r="12" spans="2:11" x14ac:dyDescent="0.25">
      <c r="B12" s="577" t="s">
        <v>585</v>
      </c>
      <c r="C12" s="578" t="s">
        <v>586</v>
      </c>
      <c r="D12" s="575">
        <v>0</v>
      </c>
      <c r="E12" s="575">
        <v>0</v>
      </c>
      <c r="F12" s="575">
        <v>0</v>
      </c>
      <c r="G12" s="575">
        <v>0</v>
      </c>
      <c r="H12" s="575">
        <v>0</v>
      </c>
      <c r="I12" s="575">
        <v>0</v>
      </c>
      <c r="J12" s="575">
        <v>0</v>
      </c>
      <c r="K12" s="576">
        <v>0</v>
      </c>
    </row>
    <row r="13" spans="2:11" x14ac:dyDescent="0.25">
      <c r="B13" s="577" t="s">
        <v>587</v>
      </c>
      <c r="C13" s="578" t="s">
        <v>588</v>
      </c>
      <c r="D13" s="575">
        <v>0</v>
      </c>
      <c r="E13" s="575">
        <v>0</v>
      </c>
      <c r="F13" s="575">
        <v>0</v>
      </c>
      <c r="G13" s="575">
        <v>0</v>
      </c>
      <c r="H13" s="575">
        <v>0</v>
      </c>
      <c r="I13" s="575">
        <v>0</v>
      </c>
      <c r="J13" s="575">
        <v>0</v>
      </c>
      <c r="K13" s="576">
        <v>0</v>
      </c>
    </row>
    <row r="14" spans="2:11" x14ac:dyDescent="0.25">
      <c r="B14" s="577" t="s">
        <v>589</v>
      </c>
      <c r="C14" s="578" t="s">
        <v>590</v>
      </c>
      <c r="D14" s="575">
        <v>0</v>
      </c>
      <c r="E14" s="575">
        <v>0</v>
      </c>
      <c r="F14" s="575">
        <v>0</v>
      </c>
      <c r="G14" s="575">
        <v>0</v>
      </c>
      <c r="H14" s="575">
        <v>0</v>
      </c>
      <c r="I14" s="575">
        <v>0</v>
      </c>
      <c r="J14" s="575">
        <v>0</v>
      </c>
      <c r="K14" s="576">
        <v>0</v>
      </c>
    </row>
    <row r="15" spans="2:11" x14ac:dyDescent="0.25">
      <c r="B15" s="577" t="s">
        <v>591</v>
      </c>
      <c r="C15" s="578" t="s">
        <v>592</v>
      </c>
      <c r="D15" s="575">
        <v>0</v>
      </c>
      <c r="E15" s="575">
        <f>27107968/1000</f>
        <v>27107.968000000001</v>
      </c>
      <c r="F15" s="575">
        <f>24107968/1000</f>
        <v>24107.968000000001</v>
      </c>
      <c r="G15" s="575">
        <f>24055034/1000</f>
        <v>24055.034</v>
      </c>
      <c r="H15" s="575">
        <v>0</v>
      </c>
      <c r="I15" s="575">
        <f>-16626177/1000</f>
        <v>-16626.177</v>
      </c>
      <c r="J15" s="575">
        <v>0</v>
      </c>
      <c r="K15" s="576">
        <v>0</v>
      </c>
    </row>
    <row r="16" spans="2:11" x14ac:dyDescent="0.25">
      <c r="B16" s="577" t="s">
        <v>593</v>
      </c>
      <c r="C16" s="578" t="s">
        <v>596</v>
      </c>
      <c r="D16" s="575">
        <v>0</v>
      </c>
      <c r="E16" s="575">
        <f>18228966/1000</f>
        <v>18228.966</v>
      </c>
      <c r="F16" s="575">
        <f>18228966/1000</f>
        <v>18228.966</v>
      </c>
      <c r="G16" s="575">
        <f>15935963/1000</f>
        <v>15935.963</v>
      </c>
      <c r="H16" s="575">
        <v>0</v>
      </c>
      <c r="I16" s="575">
        <f>-12699214/1000</f>
        <v>-12699.214</v>
      </c>
      <c r="J16" s="575">
        <v>0</v>
      </c>
      <c r="K16" s="576">
        <v>0</v>
      </c>
    </row>
    <row r="17" spans="2:11" x14ac:dyDescent="0.25">
      <c r="B17" s="573" t="s">
        <v>595</v>
      </c>
      <c r="C17" s="574" t="s">
        <v>598</v>
      </c>
      <c r="D17" s="575">
        <v>0</v>
      </c>
      <c r="E17" s="575">
        <v>0</v>
      </c>
      <c r="F17" s="575">
        <v>0</v>
      </c>
      <c r="G17" s="575">
        <v>0</v>
      </c>
      <c r="H17" s="575">
        <v>0</v>
      </c>
      <c r="I17" s="575">
        <v>0</v>
      </c>
      <c r="J17" s="575">
        <v>0</v>
      </c>
      <c r="K17" s="576">
        <v>0</v>
      </c>
    </row>
    <row r="18" spans="2:11" x14ac:dyDescent="0.25">
      <c r="B18" s="573" t="s">
        <v>597</v>
      </c>
      <c r="C18" s="574" t="s">
        <v>642</v>
      </c>
      <c r="D18" s="575">
        <v>0</v>
      </c>
      <c r="E18" s="575">
        <v>0</v>
      </c>
      <c r="F18" s="575">
        <v>0</v>
      </c>
      <c r="G18" s="575">
        <v>0</v>
      </c>
      <c r="H18" s="575">
        <v>0</v>
      </c>
      <c r="I18" s="575">
        <v>0</v>
      </c>
      <c r="J18" s="575">
        <v>0</v>
      </c>
      <c r="K18" s="576">
        <v>0</v>
      </c>
    </row>
    <row r="19" spans="2:11" x14ac:dyDescent="0.25">
      <c r="B19" s="579">
        <v>100</v>
      </c>
      <c r="C19" s="580" t="s">
        <v>0</v>
      </c>
      <c r="D19" s="575">
        <f>+D9+D10+D17+D18</f>
        <v>0</v>
      </c>
      <c r="E19" s="575">
        <f t="shared" ref="E19:K19" si="0">+E9+E10+E17+E18</f>
        <v>42336.934999999998</v>
      </c>
      <c r="F19" s="575">
        <f t="shared" si="0"/>
        <v>42336.934999999998</v>
      </c>
      <c r="G19" s="575">
        <f t="shared" si="0"/>
        <v>39990.997000000003</v>
      </c>
      <c r="H19" s="575">
        <f t="shared" si="0"/>
        <v>0</v>
      </c>
      <c r="I19" s="575">
        <f t="shared" si="0"/>
        <v>-29325.391</v>
      </c>
      <c r="J19" s="575">
        <f t="shared" si="0"/>
        <v>0</v>
      </c>
      <c r="K19" s="576">
        <f t="shared" si="0"/>
        <v>0</v>
      </c>
    </row>
  </sheetData>
  <mergeCells count="8">
    <mergeCell ref="D6:G6"/>
    <mergeCell ref="H6:I6"/>
    <mergeCell ref="J6:K6"/>
    <mergeCell ref="D7:D8"/>
    <mergeCell ref="E7:G7"/>
    <mergeCell ref="H7:H8"/>
    <mergeCell ref="I7:I8"/>
    <mergeCell ref="K7:K8"/>
  </mergeCells>
  <hyperlinks>
    <hyperlink ref="B2" location="Indhold!B26" display="Skema EU CQ1: Kreditkvalitet af eksponeringer med kreditlempelser" xr:uid="{BBA3887F-8B8E-4654-8B84-7A58E9BAB141}"/>
  </hyperlinks>
  <pageMargins left="0.70866141732283472" right="0.70866141732283472" top="0.74803149606299213" bottom="0.74803149606299213" header="0.31496062992125984" footer="0.31496062992125984"/>
  <pageSetup paperSize="9" scale="93" fitToHeight="0" orientation="landscape" r:id="rId1"/>
  <headerFooter>
    <oddHeader>&amp;CDA
Bilag XV</oddHead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82A46-853D-4539-8D76-A61C69D62029}">
  <sheetPr>
    <pageSetUpPr fitToPage="1"/>
  </sheetPr>
  <dimension ref="B2:O33"/>
  <sheetViews>
    <sheetView showGridLines="0" zoomScaleNormal="100" workbookViewId="0">
      <selection activeCell="F1" sqref="F1"/>
    </sheetView>
  </sheetViews>
  <sheetFormatPr defaultRowHeight="15" x14ac:dyDescent="0.25"/>
  <cols>
    <col min="3" max="3" width="24.85546875" customWidth="1"/>
    <col min="4" max="5" width="10.5703125" bestFit="1" customWidth="1"/>
    <col min="6" max="7" width="9.28515625" bestFit="1" customWidth="1"/>
    <col min="8" max="8" width="11" customWidth="1"/>
    <col min="9" max="15" width="9.28515625" bestFit="1" customWidth="1"/>
  </cols>
  <sheetData>
    <row r="2" spans="2:15" x14ac:dyDescent="0.25">
      <c r="B2" s="866" t="s">
        <v>647</v>
      </c>
    </row>
    <row r="3" spans="2:15" ht="15.75" x14ac:dyDescent="0.25">
      <c r="B3" s="164"/>
      <c r="C3" s="165"/>
      <c r="D3" s="165"/>
      <c r="E3" s="165"/>
      <c r="F3" s="165"/>
      <c r="G3" s="165"/>
      <c r="H3" s="165"/>
      <c r="I3" s="165"/>
      <c r="K3" s="165"/>
      <c r="L3" s="165"/>
      <c r="M3" s="165"/>
      <c r="N3" s="165"/>
      <c r="O3" s="165"/>
    </row>
    <row r="4" spans="2:15" ht="15.75" x14ac:dyDescent="0.25">
      <c r="B4" s="164"/>
      <c r="C4" s="816"/>
      <c r="D4" s="816"/>
      <c r="E4" s="816"/>
      <c r="F4" s="816"/>
      <c r="G4" s="816"/>
      <c r="H4" s="816"/>
      <c r="I4" s="816"/>
      <c r="J4" s="816"/>
      <c r="K4" s="816"/>
      <c r="L4" s="816"/>
      <c r="M4" s="816"/>
      <c r="N4" s="816"/>
      <c r="O4" s="816"/>
    </row>
    <row r="5" spans="2:15" ht="15.75" x14ac:dyDescent="0.25">
      <c r="B5" s="540"/>
      <c r="C5" s="540"/>
      <c r="D5" s="562" t="s">
        <v>103</v>
      </c>
      <c r="E5" s="562" t="s">
        <v>102</v>
      </c>
      <c r="F5" s="562" t="s">
        <v>97</v>
      </c>
      <c r="G5" s="562" t="s">
        <v>96</v>
      </c>
      <c r="H5" s="562" t="s">
        <v>95</v>
      </c>
      <c r="I5" s="562" t="s">
        <v>111</v>
      </c>
      <c r="J5" s="562" t="s">
        <v>112</v>
      </c>
      <c r="K5" s="562" t="s">
        <v>164</v>
      </c>
      <c r="L5" s="562" t="s">
        <v>323</v>
      </c>
      <c r="M5" s="562" t="s">
        <v>324</v>
      </c>
      <c r="N5" s="562" t="s">
        <v>325</v>
      </c>
      <c r="O5" s="562" t="s">
        <v>326</v>
      </c>
    </row>
    <row r="6" spans="2:15" ht="15.75" x14ac:dyDescent="0.25">
      <c r="B6" s="540"/>
      <c r="C6" s="540"/>
      <c r="D6" s="1073" t="s">
        <v>571</v>
      </c>
      <c r="E6" s="1074"/>
      <c r="F6" s="1074"/>
      <c r="G6" s="1074"/>
      <c r="H6" s="1074"/>
      <c r="I6" s="1074"/>
      <c r="J6" s="1074"/>
      <c r="K6" s="1074"/>
      <c r="L6" s="1074"/>
      <c r="M6" s="1074"/>
      <c r="N6" s="1074"/>
      <c r="O6" s="1075"/>
    </row>
    <row r="7" spans="2:15" ht="15.75" x14ac:dyDescent="0.25">
      <c r="B7" s="540"/>
      <c r="C7" s="540"/>
      <c r="D7" s="1076" t="s">
        <v>575</v>
      </c>
      <c r="E7" s="1077"/>
      <c r="F7" s="1078"/>
      <c r="G7" s="1076" t="s">
        <v>484</v>
      </c>
      <c r="H7" s="1077"/>
      <c r="I7" s="1077"/>
      <c r="J7" s="1077"/>
      <c r="K7" s="1077"/>
      <c r="L7" s="1077"/>
      <c r="M7" s="1077"/>
      <c r="N7" s="1077"/>
      <c r="O7" s="1078"/>
    </row>
    <row r="8" spans="2:15" x14ac:dyDescent="0.25">
      <c r="B8" s="1069"/>
      <c r="C8" s="1070"/>
      <c r="D8" s="1071"/>
      <c r="E8" s="1064" t="s">
        <v>1257</v>
      </c>
      <c r="F8" s="1064" t="s">
        <v>648</v>
      </c>
      <c r="G8" s="1066"/>
      <c r="H8" s="1064" t="s">
        <v>649</v>
      </c>
      <c r="I8" s="1064" t="s">
        <v>650</v>
      </c>
      <c r="J8" s="1064" t="s">
        <v>651</v>
      </c>
      <c r="K8" s="1064" t="s">
        <v>652</v>
      </c>
      <c r="L8" s="1064" t="s">
        <v>653</v>
      </c>
      <c r="M8" s="1064" t="s">
        <v>654</v>
      </c>
      <c r="N8" s="1064" t="s">
        <v>655</v>
      </c>
      <c r="O8" s="1064" t="s">
        <v>1255</v>
      </c>
    </row>
    <row r="9" spans="2:15" x14ac:dyDescent="0.25">
      <c r="B9" s="1069"/>
      <c r="C9" s="1070"/>
      <c r="D9" s="1071"/>
      <c r="E9" s="1065"/>
      <c r="F9" s="1065"/>
      <c r="G9" s="1066"/>
      <c r="H9" s="1065"/>
      <c r="I9" s="1065"/>
      <c r="J9" s="1065"/>
      <c r="K9" s="1065"/>
      <c r="L9" s="1065"/>
      <c r="M9" s="1065"/>
      <c r="N9" s="1065"/>
      <c r="O9" s="1065"/>
    </row>
    <row r="10" spans="2:15" ht="66" customHeight="1" x14ac:dyDescent="0.25">
      <c r="B10" s="441" t="s">
        <v>1423</v>
      </c>
      <c r="C10" s="540"/>
      <c r="D10" s="593"/>
      <c r="E10" s="1072"/>
      <c r="F10" s="1072"/>
      <c r="G10" s="1066"/>
      <c r="H10" s="1072"/>
      <c r="I10" s="1072"/>
      <c r="J10" s="1072"/>
      <c r="K10" s="1072"/>
      <c r="L10" s="1072"/>
      <c r="M10" s="1072"/>
      <c r="N10" s="1072"/>
      <c r="O10" s="1072"/>
    </row>
    <row r="11" spans="2:15" ht="45" x14ac:dyDescent="0.25">
      <c r="B11" s="581" t="s">
        <v>581</v>
      </c>
      <c r="C11" s="582" t="s">
        <v>582</v>
      </c>
      <c r="D11" s="583">
        <f>849093505/1000</f>
        <v>849093.505</v>
      </c>
      <c r="E11" s="583">
        <f>893093505/1000</f>
        <v>893093.505</v>
      </c>
      <c r="F11" s="583">
        <v>0</v>
      </c>
      <c r="G11" s="583">
        <v>0</v>
      </c>
      <c r="H11" s="583">
        <v>0</v>
      </c>
      <c r="I11" s="583">
        <v>0</v>
      </c>
      <c r="J11" s="583">
        <v>0</v>
      </c>
      <c r="K11" s="583">
        <v>0</v>
      </c>
      <c r="L11" s="583">
        <v>0</v>
      </c>
      <c r="M11" s="583">
        <v>0</v>
      </c>
      <c r="N11" s="583">
        <v>0</v>
      </c>
      <c r="O11" s="583">
        <v>0</v>
      </c>
    </row>
    <row r="12" spans="2:15" x14ac:dyDescent="0.25">
      <c r="B12" s="581" t="s">
        <v>343</v>
      </c>
      <c r="C12" s="582" t="s">
        <v>583</v>
      </c>
      <c r="D12" s="583">
        <f>4006047001/1000</f>
        <v>4006047.0010000002</v>
      </c>
      <c r="E12" s="583">
        <f>3975819326/1000</f>
        <v>3975819.3259999999</v>
      </c>
      <c r="F12" s="583">
        <f>30227675/1000</f>
        <v>30227.674999999999</v>
      </c>
      <c r="G12" s="584">
        <f>239302000/1000</f>
        <v>239302</v>
      </c>
      <c r="H12" s="583">
        <f>235491169/1000</f>
        <v>235491.16899999999</v>
      </c>
      <c r="I12" s="583">
        <f>1436819/1000</f>
        <v>1436.819</v>
      </c>
      <c r="J12" s="583">
        <f>1361942/1000</f>
        <v>1361.942</v>
      </c>
      <c r="K12" s="583">
        <f>701252/1000</f>
        <v>701.25199999999995</v>
      </c>
      <c r="L12" s="583">
        <f>309018/1000</f>
        <v>309.01799999999997</v>
      </c>
      <c r="M12" s="583">
        <v>1.8</v>
      </c>
      <c r="N12" s="583">
        <v>0</v>
      </c>
      <c r="O12" s="584">
        <f>239302000/1000</f>
        <v>239302</v>
      </c>
    </row>
    <row r="13" spans="2:15" x14ac:dyDescent="0.25">
      <c r="B13" s="585" t="s">
        <v>349</v>
      </c>
      <c r="C13" s="586" t="s">
        <v>584</v>
      </c>
      <c r="D13" s="583">
        <v>0</v>
      </c>
      <c r="E13" s="583">
        <v>0</v>
      </c>
      <c r="F13" s="583">
        <v>0</v>
      </c>
      <c r="G13" s="587">
        <v>0</v>
      </c>
      <c r="H13" s="583">
        <v>0</v>
      </c>
      <c r="I13" s="583">
        <v>0</v>
      </c>
      <c r="J13" s="583">
        <v>0</v>
      </c>
      <c r="K13" s="583">
        <v>0</v>
      </c>
      <c r="L13" s="583">
        <v>0</v>
      </c>
      <c r="M13" s="583">
        <v>0</v>
      </c>
      <c r="N13" s="583">
        <v>0</v>
      </c>
      <c r="O13" s="583">
        <v>0</v>
      </c>
    </row>
    <row r="14" spans="2:15" x14ac:dyDescent="0.25">
      <c r="B14" s="585" t="s">
        <v>585</v>
      </c>
      <c r="C14" s="586" t="s">
        <v>586</v>
      </c>
      <c r="D14" s="583">
        <v>15.984999999999999</v>
      </c>
      <c r="E14" s="583">
        <f>15985000/1000</f>
        <v>15985</v>
      </c>
      <c r="F14" s="583">
        <v>0</v>
      </c>
      <c r="G14" s="587">
        <v>0</v>
      </c>
      <c r="H14" s="583">
        <v>0</v>
      </c>
      <c r="I14" s="583">
        <v>0</v>
      </c>
      <c r="J14" s="583">
        <v>0</v>
      </c>
      <c r="K14" s="583">
        <v>0</v>
      </c>
      <c r="L14" s="583">
        <v>0</v>
      </c>
      <c r="M14" s="583">
        <v>0</v>
      </c>
      <c r="N14" s="583">
        <v>0</v>
      </c>
      <c r="O14" s="583">
        <v>0</v>
      </c>
    </row>
    <row r="15" spans="2:15" x14ac:dyDescent="0.25">
      <c r="B15" s="585" t="s">
        <v>587</v>
      </c>
      <c r="C15" s="586" t="s">
        <v>588</v>
      </c>
      <c r="D15" s="583">
        <v>0</v>
      </c>
      <c r="E15" s="583">
        <v>0</v>
      </c>
      <c r="F15" s="583">
        <v>0</v>
      </c>
      <c r="G15" s="587">
        <v>0</v>
      </c>
      <c r="H15" s="583">
        <v>0</v>
      </c>
      <c r="I15" s="583">
        <v>0</v>
      </c>
      <c r="J15" s="583">
        <v>0</v>
      </c>
      <c r="K15" s="583">
        <v>0</v>
      </c>
      <c r="L15" s="583">
        <v>0</v>
      </c>
      <c r="M15" s="583">
        <v>0</v>
      </c>
      <c r="N15" s="583">
        <v>0</v>
      </c>
      <c r="O15" s="583">
        <v>0</v>
      </c>
    </row>
    <row r="16" spans="2:15" x14ac:dyDescent="0.25">
      <c r="B16" s="585" t="s">
        <v>589</v>
      </c>
      <c r="C16" s="586" t="s">
        <v>590</v>
      </c>
      <c r="D16" s="583">
        <f>777935313/1000</f>
        <v>777935.31299999997</v>
      </c>
      <c r="E16" s="583">
        <f>777922490/1000</f>
        <v>777922.49</v>
      </c>
      <c r="F16" s="583">
        <v>12.824</v>
      </c>
      <c r="G16" s="559">
        <f>4345470/1000</f>
        <v>4345.47</v>
      </c>
      <c r="H16" s="583">
        <f>4330690/1000</f>
        <v>4330.6899999999996</v>
      </c>
      <c r="I16" s="583">
        <v>3.3450000000000002</v>
      </c>
      <c r="J16" s="583">
        <v>11.435</v>
      </c>
      <c r="K16" s="583">
        <v>7.4240000000000004</v>
      </c>
      <c r="L16" s="583">
        <v>0</v>
      </c>
      <c r="M16" s="583">
        <v>0</v>
      </c>
      <c r="N16" s="583">
        <v>0</v>
      </c>
      <c r="O16" s="559">
        <f>4345470/1000</f>
        <v>4345.47</v>
      </c>
    </row>
    <row r="17" spans="2:15" x14ac:dyDescent="0.25">
      <c r="B17" s="585" t="s">
        <v>591</v>
      </c>
      <c r="C17" s="586" t="s">
        <v>592</v>
      </c>
      <c r="D17" s="583">
        <f>1569236601/1000</f>
        <v>1569236.601</v>
      </c>
      <c r="E17" s="583">
        <f>1541925607/1000</f>
        <v>1541925.6070000001</v>
      </c>
      <c r="F17" s="583">
        <f>27310994/1000</f>
        <v>27310.993999999999</v>
      </c>
      <c r="G17" s="559">
        <f>134308398/1000</f>
        <v>134308.39799999999</v>
      </c>
      <c r="H17" s="583">
        <f>134249398/1000</f>
        <v>134249.39799999999</v>
      </c>
      <c r="I17" s="583">
        <v>4.5410000000000004</v>
      </c>
      <c r="J17" s="583">
        <v>20.963999999999999</v>
      </c>
      <c r="K17" s="583">
        <v>0</v>
      </c>
      <c r="L17" s="583">
        <v>31.696000000000002</v>
      </c>
      <c r="M17" s="583">
        <v>1.8</v>
      </c>
      <c r="N17" s="583">
        <v>0</v>
      </c>
      <c r="O17" s="559">
        <f>50817963/1000</f>
        <v>50817.963000000003</v>
      </c>
    </row>
    <row r="18" spans="2:15" x14ac:dyDescent="0.25">
      <c r="B18" s="585" t="s">
        <v>593</v>
      </c>
      <c r="C18" s="586" t="s">
        <v>656</v>
      </c>
      <c r="D18" s="583">
        <f>1569236601/1000</f>
        <v>1569236.601</v>
      </c>
      <c r="E18" s="583">
        <f>1541925607/1000</f>
        <v>1541925.6070000001</v>
      </c>
      <c r="F18" s="583">
        <f>27310994/1000</f>
        <v>27310.993999999999</v>
      </c>
      <c r="G18" s="559">
        <f>134308398/1000</f>
        <v>134308.39799999999</v>
      </c>
      <c r="H18" s="583">
        <f>134249398/1000</f>
        <v>134249.39799999999</v>
      </c>
      <c r="I18" s="583">
        <v>4.5410000000000004</v>
      </c>
      <c r="J18" s="583">
        <v>20.963999999999999</v>
      </c>
      <c r="K18" s="583">
        <v>0</v>
      </c>
      <c r="L18" s="583">
        <v>31.696000000000002</v>
      </c>
      <c r="M18" s="583">
        <v>1.8</v>
      </c>
      <c r="N18" s="583">
        <v>0</v>
      </c>
      <c r="O18" s="559">
        <f>50817963/1000</f>
        <v>50817.963000000003</v>
      </c>
    </row>
    <row r="19" spans="2:15" x14ac:dyDescent="0.25">
      <c r="B19" s="585" t="s">
        <v>595</v>
      </c>
      <c r="C19" s="586" t="s">
        <v>596</v>
      </c>
      <c r="D19" s="583">
        <f>1658859102/1000</f>
        <v>1658859.102</v>
      </c>
      <c r="E19" s="583">
        <f>1655955244/1000</f>
        <v>1655955.2439999999</v>
      </c>
      <c r="F19" s="583">
        <f>2903858/1000</f>
        <v>2903.8580000000002</v>
      </c>
      <c r="G19" s="559">
        <f>100648132/1000</f>
        <v>100648.132</v>
      </c>
      <c r="H19" s="583">
        <f>96911081/1000</f>
        <v>96911.081000000006</v>
      </c>
      <c r="I19" s="583">
        <f>1428933/1000</f>
        <v>1428.933</v>
      </c>
      <c r="J19" s="583">
        <f>1329544/1000</f>
        <v>1329.5440000000001</v>
      </c>
      <c r="K19" s="583">
        <f>701252/1000</f>
        <v>701.25199999999995</v>
      </c>
      <c r="L19" s="583">
        <f>277323/1000</f>
        <v>277.32299999999998</v>
      </c>
      <c r="M19" s="583">
        <v>0</v>
      </c>
      <c r="N19" s="583">
        <v>0</v>
      </c>
      <c r="O19" s="559">
        <f>100648132/1000</f>
        <v>100648.132</v>
      </c>
    </row>
    <row r="20" spans="2:15" x14ac:dyDescent="0.25">
      <c r="B20" s="581" t="s">
        <v>597</v>
      </c>
      <c r="C20" s="582" t="s">
        <v>598</v>
      </c>
      <c r="D20" s="583">
        <v>0</v>
      </c>
      <c r="E20" s="583">
        <v>0</v>
      </c>
      <c r="F20" s="583">
        <v>0</v>
      </c>
      <c r="G20" s="584">
        <v>0</v>
      </c>
      <c r="H20" s="583">
        <v>0</v>
      </c>
      <c r="I20" s="583">
        <v>0</v>
      </c>
      <c r="J20" s="583">
        <v>0</v>
      </c>
      <c r="K20" s="583">
        <v>0</v>
      </c>
      <c r="L20" s="583">
        <v>0</v>
      </c>
      <c r="M20" s="583">
        <v>0</v>
      </c>
      <c r="N20" s="583">
        <v>0</v>
      </c>
      <c r="O20" s="583">
        <v>0</v>
      </c>
    </row>
    <row r="21" spans="2:15" x14ac:dyDescent="0.25">
      <c r="B21" s="585" t="s">
        <v>599</v>
      </c>
      <c r="C21" s="586" t="s">
        <v>584</v>
      </c>
      <c r="D21" s="583">
        <v>0</v>
      </c>
      <c r="E21" s="583">
        <v>0</v>
      </c>
      <c r="F21" s="583">
        <v>0</v>
      </c>
      <c r="G21" s="587">
        <v>0</v>
      </c>
      <c r="H21" s="583">
        <v>0</v>
      </c>
      <c r="I21" s="583">
        <v>0</v>
      </c>
      <c r="J21" s="583">
        <v>0</v>
      </c>
      <c r="K21" s="583">
        <v>0</v>
      </c>
      <c r="L21" s="583">
        <v>0</v>
      </c>
      <c r="M21" s="583">
        <v>0</v>
      </c>
      <c r="N21" s="583">
        <v>0</v>
      </c>
      <c r="O21" s="583">
        <v>0</v>
      </c>
    </row>
    <row r="22" spans="2:15" x14ac:dyDescent="0.25">
      <c r="B22" s="585" t="s">
        <v>600</v>
      </c>
      <c r="C22" s="586" t="s">
        <v>586</v>
      </c>
      <c r="D22" s="583">
        <v>0</v>
      </c>
      <c r="E22" s="583">
        <v>0</v>
      </c>
      <c r="F22" s="583">
        <v>0</v>
      </c>
      <c r="G22" s="587">
        <v>0</v>
      </c>
      <c r="H22" s="583">
        <v>0</v>
      </c>
      <c r="I22" s="583">
        <v>0</v>
      </c>
      <c r="J22" s="583">
        <v>0</v>
      </c>
      <c r="K22" s="583">
        <v>0</v>
      </c>
      <c r="L22" s="583">
        <v>0</v>
      </c>
      <c r="M22" s="583">
        <v>0</v>
      </c>
      <c r="N22" s="583">
        <v>0</v>
      </c>
      <c r="O22" s="583">
        <v>0</v>
      </c>
    </row>
    <row r="23" spans="2:15" x14ac:dyDescent="0.25">
      <c r="B23" s="585" t="s">
        <v>601</v>
      </c>
      <c r="C23" s="586" t="s">
        <v>588</v>
      </c>
      <c r="D23" s="583">
        <v>0</v>
      </c>
      <c r="E23" s="583">
        <v>0</v>
      </c>
      <c r="F23" s="583">
        <v>0</v>
      </c>
      <c r="G23" s="587">
        <v>0</v>
      </c>
      <c r="H23" s="583">
        <v>0</v>
      </c>
      <c r="I23" s="583">
        <v>0</v>
      </c>
      <c r="J23" s="583">
        <v>0</v>
      </c>
      <c r="K23" s="583">
        <v>0</v>
      </c>
      <c r="L23" s="583">
        <v>0</v>
      </c>
      <c r="M23" s="583">
        <v>0</v>
      </c>
      <c r="N23" s="583">
        <v>0</v>
      </c>
      <c r="O23" s="583">
        <v>0</v>
      </c>
    </row>
    <row r="24" spans="2:15" x14ac:dyDescent="0.25">
      <c r="B24" s="585" t="s">
        <v>602</v>
      </c>
      <c r="C24" s="586" t="s">
        <v>590</v>
      </c>
      <c r="D24" s="583">
        <v>0</v>
      </c>
      <c r="E24" s="583">
        <v>0</v>
      </c>
      <c r="F24" s="583">
        <v>0</v>
      </c>
      <c r="G24" s="587">
        <v>0</v>
      </c>
      <c r="H24" s="583">
        <v>0</v>
      </c>
      <c r="I24" s="583">
        <v>0</v>
      </c>
      <c r="J24" s="583">
        <v>0</v>
      </c>
      <c r="K24" s="583">
        <v>0</v>
      </c>
      <c r="L24" s="583">
        <v>0</v>
      </c>
      <c r="M24" s="583">
        <v>0</v>
      </c>
      <c r="N24" s="583">
        <v>0</v>
      </c>
      <c r="O24" s="583">
        <v>0</v>
      </c>
    </row>
    <row r="25" spans="2:15" x14ac:dyDescent="0.25">
      <c r="B25" s="585" t="s">
        <v>603</v>
      </c>
      <c r="C25" s="586" t="s">
        <v>592</v>
      </c>
      <c r="D25" s="583">
        <v>0</v>
      </c>
      <c r="E25" s="583">
        <v>0</v>
      </c>
      <c r="F25" s="583">
        <v>0</v>
      </c>
      <c r="G25" s="587">
        <v>0</v>
      </c>
      <c r="H25" s="583">
        <v>0</v>
      </c>
      <c r="I25" s="583">
        <v>0</v>
      </c>
      <c r="J25" s="583">
        <v>0</v>
      </c>
      <c r="K25" s="583">
        <v>0</v>
      </c>
      <c r="L25" s="583">
        <v>0</v>
      </c>
      <c r="M25" s="583">
        <v>0</v>
      </c>
      <c r="N25" s="583">
        <v>0</v>
      </c>
      <c r="O25" s="583">
        <v>0</v>
      </c>
    </row>
    <row r="26" spans="2:15" ht="30" x14ac:dyDescent="0.25">
      <c r="B26" s="581" t="s">
        <v>604</v>
      </c>
      <c r="C26" s="582" t="s">
        <v>415</v>
      </c>
      <c r="D26" s="583">
        <f>3821804896/1000</f>
        <v>3821804.8960000002</v>
      </c>
      <c r="E26" s="588"/>
      <c r="F26" s="588"/>
      <c r="G26" s="589">
        <f>31949291/1000</f>
        <v>31949.291000000001</v>
      </c>
      <c r="H26" s="588"/>
      <c r="I26" s="588"/>
      <c r="J26" s="588"/>
      <c r="K26" s="588"/>
      <c r="L26" s="588"/>
      <c r="M26" s="588"/>
      <c r="N26" s="588"/>
      <c r="O26" s="589">
        <v>0</v>
      </c>
    </row>
    <row r="27" spans="2:15" x14ac:dyDescent="0.25">
      <c r="B27" s="585" t="s">
        <v>605</v>
      </c>
      <c r="C27" s="586" t="s">
        <v>584</v>
      </c>
      <c r="D27" s="589">
        <v>0</v>
      </c>
      <c r="E27" s="588"/>
      <c r="F27" s="588"/>
      <c r="G27" s="589">
        <v>0</v>
      </c>
      <c r="H27" s="588"/>
      <c r="I27" s="588"/>
      <c r="J27" s="588"/>
      <c r="K27" s="588"/>
      <c r="L27" s="588"/>
      <c r="M27" s="588"/>
      <c r="N27" s="588"/>
      <c r="O27" s="589">
        <v>0</v>
      </c>
    </row>
    <row r="28" spans="2:15" x14ac:dyDescent="0.25">
      <c r="B28" s="585" t="s">
        <v>606</v>
      </c>
      <c r="C28" s="586" t="s">
        <v>586</v>
      </c>
      <c r="D28" s="589">
        <f>(1634265+2687983)/1000</f>
        <v>4322.2479999999996</v>
      </c>
      <c r="E28" s="588"/>
      <c r="F28" s="588"/>
      <c r="G28" s="589">
        <v>0</v>
      </c>
      <c r="H28" s="588"/>
      <c r="I28" s="588"/>
      <c r="J28" s="588"/>
      <c r="K28" s="588"/>
      <c r="L28" s="588"/>
      <c r="M28" s="588"/>
      <c r="N28" s="588"/>
      <c r="O28" s="589">
        <v>0</v>
      </c>
    </row>
    <row r="29" spans="2:15" x14ac:dyDescent="0.25">
      <c r="B29" s="585" t="s">
        <v>607</v>
      </c>
      <c r="C29" s="586" t="s">
        <v>588</v>
      </c>
      <c r="D29" s="589">
        <f>(45176061+31540002)/1000</f>
        <v>76716.062999999995</v>
      </c>
      <c r="E29" s="588"/>
      <c r="F29" s="588"/>
      <c r="G29" s="589">
        <v>0</v>
      </c>
      <c r="H29" s="588"/>
      <c r="I29" s="588"/>
      <c r="J29" s="588"/>
      <c r="K29" s="588"/>
      <c r="L29" s="588"/>
      <c r="M29" s="588"/>
      <c r="N29" s="588"/>
      <c r="O29" s="589">
        <v>0</v>
      </c>
    </row>
    <row r="30" spans="2:15" x14ac:dyDescent="0.25">
      <c r="B30" s="585" t="s">
        <v>608</v>
      </c>
      <c r="C30" s="586" t="s">
        <v>590</v>
      </c>
      <c r="D30" s="589">
        <f>(82949341+9312893)/1000</f>
        <v>92262.233999999997</v>
      </c>
      <c r="E30" s="588"/>
      <c r="F30" s="588"/>
      <c r="G30" s="589">
        <f>(14736)/1000</f>
        <v>14.736000000000001</v>
      </c>
      <c r="H30" s="588"/>
      <c r="I30" s="588"/>
      <c r="J30" s="588"/>
      <c r="K30" s="588"/>
      <c r="L30" s="588"/>
      <c r="M30" s="588"/>
      <c r="N30" s="588"/>
      <c r="O30" s="589">
        <v>0</v>
      </c>
    </row>
    <row r="31" spans="2:15" x14ac:dyDescent="0.25">
      <c r="B31" s="585" t="s">
        <v>609</v>
      </c>
      <c r="C31" s="586" t="s">
        <v>592</v>
      </c>
      <c r="D31" s="589">
        <f>(1154967600+232172549)/1000</f>
        <v>1387140.149</v>
      </c>
      <c r="E31" s="588"/>
      <c r="F31" s="588"/>
      <c r="G31" s="589">
        <f>(6726722+2599643)/1000</f>
        <v>9326.3649999999998</v>
      </c>
      <c r="H31" s="588"/>
      <c r="I31" s="588"/>
      <c r="J31" s="588"/>
      <c r="K31" s="588"/>
      <c r="L31" s="588"/>
      <c r="M31" s="588"/>
      <c r="N31" s="588"/>
      <c r="O31" s="589">
        <v>0</v>
      </c>
    </row>
    <row r="32" spans="2:15" x14ac:dyDescent="0.25">
      <c r="B32" s="585" t="s">
        <v>610</v>
      </c>
      <c r="C32" s="586" t="s">
        <v>596</v>
      </c>
      <c r="D32" s="589">
        <f>(1367498544+893865658)/1000</f>
        <v>2261364.202</v>
      </c>
      <c r="E32" s="588"/>
      <c r="F32" s="588"/>
      <c r="G32" s="589">
        <f>(4675529+17932660)/1000</f>
        <v>22608.188999999998</v>
      </c>
      <c r="H32" s="588"/>
      <c r="I32" s="588"/>
      <c r="J32" s="588"/>
      <c r="K32" s="588"/>
      <c r="L32" s="588"/>
      <c r="M32" s="588"/>
      <c r="N32" s="588"/>
      <c r="O32" s="589">
        <v>0</v>
      </c>
    </row>
    <row r="33" spans="2:15" x14ac:dyDescent="0.25">
      <c r="B33" s="590" t="s">
        <v>611</v>
      </c>
      <c r="C33" s="591" t="s">
        <v>0</v>
      </c>
      <c r="D33" s="592">
        <f>+D11+D12+D20+D26</f>
        <v>8676945.4020000007</v>
      </c>
      <c r="E33" s="592">
        <f t="shared" ref="E33:O33" si="0">+E11+E12+E20+E26</f>
        <v>4868912.8310000002</v>
      </c>
      <c r="F33" s="592">
        <f t="shared" si="0"/>
        <v>30227.674999999999</v>
      </c>
      <c r="G33" s="592">
        <f>+G11+G12+G20+G26</f>
        <v>271251.29100000003</v>
      </c>
      <c r="H33" s="592">
        <f t="shared" si="0"/>
        <v>235491.16899999999</v>
      </c>
      <c r="I33" s="592">
        <f t="shared" si="0"/>
        <v>1436.819</v>
      </c>
      <c r="J33" s="592">
        <f t="shared" si="0"/>
        <v>1361.942</v>
      </c>
      <c r="K33" s="592">
        <f t="shared" si="0"/>
        <v>701.25199999999995</v>
      </c>
      <c r="L33" s="592">
        <f t="shared" si="0"/>
        <v>309.01799999999997</v>
      </c>
      <c r="M33" s="592">
        <f t="shared" si="0"/>
        <v>1.8</v>
      </c>
      <c r="N33" s="592">
        <f t="shared" si="0"/>
        <v>0</v>
      </c>
      <c r="O33" s="592">
        <f t="shared" si="0"/>
        <v>239302</v>
      </c>
    </row>
  </sheetData>
  <mergeCells count="17">
    <mergeCell ref="M8:M10"/>
    <mergeCell ref="N8:N10"/>
    <mergeCell ref="D6:O6"/>
    <mergeCell ref="D7:F7"/>
    <mergeCell ref="G7:O7"/>
    <mergeCell ref="G8:G10"/>
    <mergeCell ref="H8:H10"/>
    <mergeCell ref="O8:O10"/>
    <mergeCell ref="I8:I10"/>
    <mergeCell ref="J8:J10"/>
    <mergeCell ref="K8:K10"/>
    <mergeCell ref="L8:L10"/>
    <mergeCell ref="B8:B9"/>
    <mergeCell ref="C8:C9"/>
    <mergeCell ref="D8:D9"/>
    <mergeCell ref="E8:E10"/>
    <mergeCell ref="F8:F10"/>
  </mergeCells>
  <hyperlinks>
    <hyperlink ref="B2" location="Indhold!B27" display="Skema EU CQ3: Kreditkvalitet af ikkemisligholdte og misligholdte eksponeringer efter forfaldsdage" xr:uid="{904E1004-16D2-4239-8ED5-EBDFC4F1ED6C}"/>
  </hyperlinks>
  <pageMargins left="0.70866141732283472" right="0.70866141732283472" top="0.74803149606299213" bottom="0.74803149606299213" header="0.31496062992125984" footer="0.31496062992125984"/>
  <pageSetup paperSize="9" scale="89" fitToHeight="0" orientation="landscape" r:id="rId1"/>
  <headerFooter>
    <oddHeader>&amp;CDA
Bilag XV</oddHead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C2D9B-53C1-4A20-B450-3A738841AEF5}">
  <sheetPr>
    <pageSetUpPr fitToPage="1"/>
  </sheetPr>
  <dimension ref="B2:I29"/>
  <sheetViews>
    <sheetView showGridLines="0" zoomScaleNormal="100" workbookViewId="0">
      <selection activeCell="F1" sqref="F1"/>
    </sheetView>
  </sheetViews>
  <sheetFormatPr defaultRowHeight="15" x14ac:dyDescent="0.25"/>
  <cols>
    <col min="2" max="2" width="4.7109375" customWidth="1"/>
    <col min="3" max="3" width="25" customWidth="1"/>
    <col min="4" max="4" width="10.5703125" bestFit="1" customWidth="1"/>
    <col min="7" max="7" width="13" customWidth="1"/>
    <col min="8" max="8" width="12.42578125" customWidth="1"/>
    <col min="9" max="9" width="20.28515625" customWidth="1"/>
  </cols>
  <sheetData>
    <row r="2" spans="2:9" x14ac:dyDescent="0.25">
      <c r="B2" s="866" t="s">
        <v>668</v>
      </c>
    </row>
    <row r="3" spans="2:9" ht="15.75" x14ac:dyDescent="0.25">
      <c r="B3" s="164"/>
      <c r="C3" s="165"/>
      <c r="D3" s="165"/>
      <c r="E3" s="1079"/>
      <c r="F3" s="1079"/>
      <c r="G3" s="165"/>
      <c r="H3" s="869"/>
      <c r="I3" s="165"/>
    </row>
    <row r="4" spans="2:9" ht="15.75" x14ac:dyDescent="0.25">
      <c r="B4" s="164"/>
      <c r="C4" s="816"/>
      <c r="D4" s="816"/>
      <c r="E4" s="815"/>
      <c r="F4" s="815"/>
      <c r="G4" s="816"/>
      <c r="H4" s="816"/>
      <c r="I4" s="816"/>
    </row>
    <row r="5" spans="2:9" ht="15.75" x14ac:dyDescent="0.25">
      <c r="B5" s="540"/>
      <c r="C5" s="594"/>
      <c r="D5" s="596" t="s">
        <v>103</v>
      </c>
      <c r="E5" s="564" t="s">
        <v>102</v>
      </c>
      <c r="F5" s="564" t="s">
        <v>97</v>
      </c>
      <c r="G5" s="564" t="s">
        <v>96</v>
      </c>
      <c r="H5" s="564" t="s">
        <v>95</v>
      </c>
      <c r="I5" s="564" t="s">
        <v>111</v>
      </c>
    </row>
    <row r="6" spans="2:9" ht="19.5" customHeight="1" x14ac:dyDescent="0.25">
      <c r="B6" s="540"/>
      <c r="C6" s="594"/>
      <c r="D6" s="1080" t="s">
        <v>669</v>
      </c>
      <c r="E6" s="1080"/>
      <c r="F6" s="1080"/>
      <c r="G6" s="1080"/>
      <c r="H6" s="1081" t="s">
        <v>1259</v>
      </c>
      <c r="I6" s="1081" t="s">
        <v>659</v>
      </c>
    </row>
    <row r="7" spans="2:9" ht="49.5" customHeight="1" x14ac:dyDescent="0.25">
      <c r="B7" s="597"/>
      <c r="C7" s="598"/>
      <c r="D7" s="599"/>
      <c r="E7" s="1084" t="s">
        <v>660</v>
      </c>
      <c r="F7" s="1085"/>
      <c r="G7" s="600" t="s">
        <v>670</v>
      </c>
      <c r="H7" s="1082"/>
      <c r="I7" s="1082"/>
    </row>
    <row r="8" spans="2:9" ht="15.75" x14ac:dyDescent="0.25">
      <c r="B8" s="441" t="s">
        <v>1423</v>
      </c>
      <c r="C8" s="594"/>
      <c r="D8" s="601"/>
      <c r="E8" s="1086"/>
      <c r="F8" s="1081" t="s">
        <v>1255</v>
      </c>
      <c r="G8" s="1088"/>
      <c r="H8" s="1082"/>
      <c r="I8" s="1082"/>
    </row>
    <row r="9" spans="2:9" ht="16.5" thickBot="1" x14ac:dyDescent="0.3">
      <c r="B9" s="540"/>
      <c r="C9" s="595"/>
      <c r="D9" s="602"/>
      <c r="E9" s="1087"/>
      <c r="F9" s="1083"/>
      <c r="G9" s="1089"/>
      <c r="H9" s="1083"/>
      <c r="I9" s="1083"/>
    </row>
    <row r="10" spans="2:9" ht="30" x14ac:dyDescent="0.25">
      <c r="B10" s="603" t="s">
        <v>343</v>
      </c>
      <c r="C10" s="604" t="s">
        <v>671</v>
      </c>
      <c r="D10" s="605">
        <f>22957383/1000</f>
        <v>22957.383000000002</v>
      </c>
      <c r="E10" s="605">
        <f>1758351/1000</f>
        <v>1758.3510000000001</v>
      </c>
      <c r="F10" s="605">
        <f>1758351/1000</f>
        <v>1758.3510000000001</v>
      </c>
      <c r="G10" s="605">
        <f>22957383/1000</f>
        <v>22957.383000000002</v>
      </c>
      <c r="H10" s="605">
        <f>-2296459/1000</f>
        <v>-2296.4589999999998</v>
      </c>
      <c r="I10" s="605">
        <v>0</v>
      </c>
    </row>
    <row r="11" spans="2:9" x14ac:dyDescent="0.25">
      <c r="B11" s="606" t="s">
        <v>349</v>
      </c>
      <c r="C11" s="582" t="s">
        <v>672</v>
      </c>
      <c r="D11" s="584">
        <v>0</v>
      </c>
      <c r="E11" s="584">
        <v>0</v>
      </c>
      <c r="F11" s="584">
        <v>0</v>
      </c>
      <c r="G11" s="584">
        <v>0</v>
      </c>
      <c r="H11" s="584">
        <v>0</v>
      </c>
      <c r="I11" s="584">
        <v>0</v>
      </c>
    </row>
    <row r="12" spans="2:9" x14ac:dyDescent="0.25">
      <c r="B12" s="606" t="s">
        <v>585</v>
      </c>
      <c r="C12" s="582" t="s">
        <v>673</v>
      </c>
      <c r="D12" s="584">
        <f>67833583/1000</f>
        <v>67833.582999999999</v>
      </c>
      <c r="E12" s="584">
        <f>26948323/1000</f>
        <v>26948.323</v>
      </c>
      <c r="F12" s="584">
        <f>26948323/1000</f>
        <v>26948.323</v>
      </c>
      <c r="G12" s="584">
        <f>67833583/1000</f>
        <v>67833.582999999999</v>
      </c>
      <c r="H12" s="584">
        <f>-20556416/1000</f>
        <v>-20556.416000000001</v>
      </c>
      <c r="I12" s="584">
        <v>0</v>
      </c>
    </row>
    <row r="13" spans="2:9" ht="30" x14ac:dyDescent="0.25">
      <c r="B13" s="606" t="s">
        <v>587</v>
      </c>
      <c r="C13" s="582" t="s">
        <v>674</v>
      </c>
      <c r="D13" s="584">
        <f>105534586/1000</f>
        <v>105534.586</v>
      </c>
      <c r="E13" s="584">
        <v>0</v>
      </c>
      <c r="F13" s="584">
        <v>0</v>
      </c>
      <c r="G13" s="584">
        <f>105534586/1000</f>
        <v>105534.586</v>
      </c>
      <c r="H13" s="584">
        <f>-612809/1000</f>
        <v>-612.80899999999997</v>
      </c>
      <c r="I13" s="584">
        <v>0</v>
      </c>
    </row>
    <row r="14" spans="2:9" x14ac:dyDescent="0.25">
      <c r="B14" s="606" t="s">
        <v>589</v>
      </c>
      <c r="C14" s="582" t="s">
        <v>675</v>
      </c>
      <c r="D14" s="584">
        <f>16579080/1000</f>
        <v>16579.080000000002</v>
      </c>
      <c r="E14" s="584">
        <f>231420/1000</f>
        <v>231.42</v>
      </c>
      <c r="F14" s="584">
        <f>231420/1000</f>
        <v>231.42</v>
      </c>
      <c r="G14" s="584">
        <f>16579080/1000</f>
        <v>16579.080000000002</v>
      </c>
      <c r="H14" s="584">
        <f>-419259/1000</f>
        <v>-419.25900000000001</v>
      </c>
      <c r="I14" s="584">
        <v>0</v>
      </c>
    </row>
    <row r="15" spans="2:9" ht="30" x14ac:dyDescent="0.25">
      <c r="B15" s="606" t="s">
        <v>591</v>
      </c>
      <c r="C15" s="582" t="s">
        <v>676</v>
      </c>
      <c r="D15" s="584">
        <f>213031456/1000</f>
        <v>213031.45600000001</v>
      </c>
      <c r="E15" s="584">
        <f>2514996/1000</f>
        <v>2514.9960000000001</v>
      </c>
      <c r="F15" s="584">
        <f>2514996/1000</f>
        <v>2514.9960000000001</v>
      </c>
      <c r="G15" s="584">
        <f>213031456/1000</f>
        <v>213031.45600000001</v>
      </c>
      <c r="H15" s="584">
        <f>-3170737/1000</f>
        <v>-3170.7370000000001</v>
      </c>
      <c r="I15" s="584">
        <v>0</v>
      </c>
    </row>
    <row r="16" spans="2:9" x14ac:dyDescent="0.25">
      <c r="B16" s="606" t="s">
        <v>593</v>
      </c>
      <c r="C16" s="582" t="s">
        <v>677</v>
      </c>
      <c r="D16" s="584">
        <f>262680903/1000</f>
        <v>262680.90299999999</v>
      </c>
      <c r="E16" s="584">
        <f>73259742/1000</f>
        <v>73259.741999999998</v>
      </c>
      <c r="F16" s="584">
        <f>73259742/1000</f>
        <v>73259.741999999998</v>
      </c>
      <c r="G16" s="584">
        <f>262680903/1000</f>
        <v>262680.90299999999</v>
      </c>
      <c r="H16" s="584">
        <f>-14973909/1000</f>
        <v>-14973.909</v>
      </c>
      <c r="I16" s="584">
        <v>0</v>
      </c>
    </row>
    <row r="17" spans="2:9" x14ac:dyDescent="0.25">
      <c r="B17" s="606" t="s">
        <v>595</v>
      </c>
      <c r="C17" s="582" t="s">
        <v>678</v>
      </c>
      <c r="D17" s="584">
        <f>324576573/1000</f>
        <v>324576.57299999997</v>
      </c>
      <c r="E17" s="584">
        <v>0</v>
      </c>
      <c r="F17" s="584">
        <v>0</v>
      </c>
      <c r="G17" s="584">
        <f>324576573/1000</f>
        <v>324576.57299999997</v>
      </c>
      <c r="H17" s="584">
        <f>-873266/1000</f>
        <v>-873.26599999999996</v>
      </c>
      <c r="I17" s="584">
        <v>0</v>
      </c>
    </row>
    <row r="18" spans="2:9" ht="30" x14ac:dyDescent="0.25">
      <c r="B18" s="607" t="s">
        <v>597</v>
      </c>
      <c r="C18" s="582" t="s">
        <v>679</v>
      </c>
      <c r="D18" s="584">
        <f>5300901/1000</f>
        <v>5300.9009999999998</v>
      </c>
      <c r="E18" s="584">
        <f>806777/1000</f>
        <v>806.77700000000004</v>
      </c>
      <c r="F18" s="584">
        <f>806777/1000</f>
        <v>806.77700000000004</v>
      </c>
      <c r="G18" s="584">
        <f>5300901/1000</f>
        <v>5300.9009999999998</v>
      </c>
      <c r="H18" s="584">
        <f>-326202/1000</f>
        <v>-326.202</v>
      </c>
      <c r="I18" s="584">
        <v>0</v>
      </c>
    </row>
    <row r="19" spans="2:9" ht="30" x14ac:dyDescent="0.25">
      <c r="B19" s="606" t="s">
        <v>599</v>
      </c>
      <c r="C19" s="582" t="s">
        <v>680</v>
      </c>
      <c r="D19" s="584">
        <f>20301751/1000</f>
        <v>20301.751</v>
      </c>
      <c r="E19" s="584">
        <f>52507/1000</f>
        <v>52.506999999999998</v>
      </c>
      <c r="F19" s="584">
        <f>52507/1000</f>
        <v>52.506999999999998</v>
      </c>
      <c r="G19" s="584">
        <f>20301751/1000</f>
        <v>20301.751</v>
      </c>
      <c r="H19" s="584">
        <f>-685000/1000</f>
        <v>-685</v>
      </c>
      <c r="I19" s="584">
        <v>0</v>
      </c>
    </row>
    <row r="20" spans="2:9" ht="45" x14ac:dyDescent="0.25">
      <c r="B20" s="606" t="s">
        <v>600</v>
      </c>
      <c r="C20" s="582" t="s">
        <v>681</v>
      </c>
      <c r="D20" s="584">
        <f>3055940/1000</f>
        <v>3055.94</v>
      </c>
      <c r="E20" s="584">
        <v>0</v>
      </c>
      <c r="F20" s="584">
        <v>0</v>
      </c>
      <c r="G20" s="584">
        <f>3055940/1000</f>
        <v>3055.94</v>
      </c>
      <c r="H20" s="584">
        <f>-97914/1000</f>
        <v>-97.914000000000001</v>
      </c>
      <c r="I20" s="584">
        <v>0</v>
      </c>
    </row>
    <row r="21" spans="2:9" ht="30" x14ac:dyDescent="0.25">
      <c r="B21" s="606" t="s">
        <v>601</v>
      </c>
      <c r="C21" s="582" t="s">
        <v>682</v>
      </c>
      <c r="D21" s="584">
        <f>509821309/1000</f>
        <v>509821.30900000001</v>
      </c>
      <c r="E21" s="584">
        <f>21506666/1000</f>
        <v>21506.666000000001</v>
      </c>
      <c r="F21" s="584">
        <f>21506666/1000</f>
        <v>21506.666000000001</v>
      </c>
      <c r="G21" s="584">
        <f>509821309/1000</f>
        <v>509821.30900000001</v>
      </c>
      <c r="H21" s="584">
        <f>-9943160/1000</f>
        <v>-9943.16</v>
      </c>
      <c r="I21" s="584">
        <v>0</v>
      </c>
    </row>
    <row r="22" spans="2:9" ht="45" x14ac:dyDescent="0.25">
      <c r="B22" s="606" t="s">
        <v>602</v>
      </c>
      <c r="C22" s="582" t="s">
        <v>683</v>
      </c>
      <c r="D22" s="584">
        <f>73736254/1000</f>
        <v>73736.254000000001</v>
      </c>
      <c r="E22" s="584">
        <f>2486938/1000</f>
        <v>2486.9380000000001</v>
      </c>
      <c r="F22" s="584">
        <f>2486938/1000</f>
        <v>2486.9380000000001</v>
      </c>
      <c r="G22" s="584">
        <f>73736254/1000</f>
        <v>73736.254000000001</v>
      </c>
      <c r="H22" s="584">
        <f>-3437143/1000</f>
        <v>-3437.143</v>
      </c>
      <c r="I22" s="584">
        <v>0</v>
      </c>
    </row>
    <row r="23" spans="2:9" ht="45" x14ac:dyDescent="0.25">
      <c r="B23" s="606" t="s">
        <v>603</v>
      </c>
      <c r="C23" s="582" t="s">
        <v>684</v>
      </c>
      <c r="D23" s="584">
        <f>26750432/1000</f>
        <v>26750.432000000001</v>
      </c>
      <c r="E23" s="584">
        <v>19.024999999999999</v>
      </c>
      <c r="F23" s="584">
        <v>19.024999999999999</v>
      </c>
      <c r="G23" s="584">
        <f>26750432/1000</f>
        <v>26750.432000000001</v>
      </c>
      <c r="H23" s="584">
        <f>-417531/1000</f>
        <v>-417.53100000000001</v>
      </c>
      <c r="I23" s="584">
        <v>0</v>
      </c>
    </row>
    <row r="24" spans="2:9" ht="30" x14ac:dyDescent="0.25">
      <c r="B24" s="607" t="s">
        <v>604</v>
      </c>
      <c r="C24" s="582" t="s">
        <v>685</v>
      </c>
      <c r="D24" s="584">
        <v>0</v>
      </c>
      <c r="E24" s="584">
        <v>0</v>
      </c>
      <c r="F24" s="584">
        <v>0</v>
      </c>
      <c r="G24" s="584">
        <v>0</v>
      </c>
      <c r="H24" s="584">
        <v>0</v>
      </c>
      <c r="I24" s="584">
        <v>0</v>
      </c>
    </row>
    <row r="25" spans="2:9" x14ac:dyDescent="0.25">
      <c r="B25" s="606" t="s">
        <v>605</v>
      </c>
      <c r="C25" s="582" t="s">
        <v>686</v>
      </c>
      <c r="D25" s="584">
        <f>98895/1000</f>
        <v>98.894999999999996</v>
      </c>
      <c r="E25" s="584">
        <v>0</v>
      </c>
      <c r="F25" s="584">
        <v>0</v>
      </c>
      <c r="G25" s="584">
        <f>98895/1000</f>
        <v>98.894999999999996</v>
      </c>
      <c r="H25" s="584">
        <v>-2.9279999999999999</v>
      </c>
      <c r="I25" s="584">
        <v>0</v>
      </c>
    </row>
    <row r="26" spans="2:9" ht="30" x14ac:dyDescent="0.25">
      <c r="B26" s="606" t="s">
        <v>606</v>
      </c>
      <c r="C26" s="582" t="s">
        <v>687</v>
      </c>
      <c r="D26" s="584">
        <f>1441718/1000</f>
        <v>1441.7180000000001</v>
      </c>
      <c r="E26" s="584">
        <v>0.35099999999999998</v>
      </c>
      <c r="F26" s="584">
        <v>0.35099999999999998</v>
      </c>
      <c r="G26" s="584">
        <f>1441718/1000</f>
        <v>1441.7180000000001</v>
      </c>
      <c r="H26" s="584">
        <f>-40168/1000</f>
        <v>-40.167999999999999</v>
      </c>
      <c r="I26" s="584">
        <v>0</v>
      </c>
    </row>
    <row r="27" spans="2:9" ht="30" x14ac:dyDescent="0.25">
      <c r="B27" s="606" t="s">
        <v>607</v>
      </c>
      <c r="C27" s="582" t="s">
        <v>688</v>
      </c>
      <c r="D27" s="584">
        <f>44064252/1000</f>
        <v>44064.252</v>
      </c>
      <c r="E27" s="584">
        <f>252894/1000</f>
        <v>252.89400000000001</v>
      </c>
      <c r="F27" s="584">
        <f>252894/1000</f>
        <v>252.89400000000001</v>
      </c>
      <c r="G27" s="584">
        <f>44064252/1000</f>
        <v>44064.252</v>
      </c>
      <c r="H27" s="584">
        <f>-881874/1000</f>
        <v>-881.87400000000002</v>
      </c>
      <c r="I27" s="584">
        <v>0</v>
      </c>
    </row>
    <row r="28" spans="2:9" x14ac:dyDescent="0.25">
      <c r="B28" s="606" t="s">
        <v>608</v>
      </c>
      <c r="C28" s="582" t="s">
        <v>689</v>
      </c>
      <c r="D28" s="584">
        <f>5779983/1000</f>
        <v>5779.9830000000002</v>
      </c>
      <c r="E28" s="584">
        <f>4470409/1000</f>
        <v>4470.4089999999997</v>
      </c>
      <c r="F28" s="584">
        <f>4470409/1000</f>
        <v>4470.4089999999997</v>
      </c>
      <c r="G28" s="584">
        <f>5779983/1000</f>
        <v>5779.9830000000002</v>
      </c>
      <c r="H28" s="584">
        <f>-1236154/1000</f>
        <v>-1236.154</v>
      </c>
      <c r="I28" s="584">
        <v>0</v>
      </c>
    </row>
    <row r="29" spans="2:9" x14ac:dyDescent="0.25">
      <c r="B29" s="608" t="s">
        <v>609</v>
      </c>
      <c r="C29" s="591" t="s">
        <v>0</v>
      </c>
      <c r="D29" s="592">
        <f>SUM(D10:D28)</f>
        <v>1703544.9990000001</v>
      </c>
      <c r="E29" s="592">
        <f t="shared" ref="E29:I29" si="0">SUM(E10:E28)</f>
        <v>134308.39899999998</v>
      </c>
      <c r="F29" s="592">
        <f t="shared" si="0"/>
        <v>134308.39899999998</v>
      </c>
      <c r="G29" s="592">
        <f t="shared" si="0"/>
        <v>1703544.9990000001</v>
      </c>
      <c r="H29" s="592">
        <f t="shared" si="0"/>
        <v>-59970.928999999996</v>
      </c>
      <c r="I29" s="592">
        <f t="shared" si="0"/>
        <v>0</v>
      </c>
    </row>
  </sheetData>
  <mergeCells count="8">
    <mergeCell ref="E3:F3"/>
    <mergeCell ref="D6:G6"/>
    <mergeCell ref="H6:H9"/>
    <mergeCell ref="I6:I9"/>
    <mergeCell ref="E7:F7"/>
    <mergeCell ref="E8:E9"/>
    <mergeCell ref="F8:F9"/>
    <mergeCell ref="G8:G9"/>
  </mergeCells>
  <hyperlinks>
    <hyperlink ref="B2" location="Indhold!B28" display="Skema EU CQ5: Kreditkvalitet af lån og forskud til ikkefinansielle selskaber efter branche" xr:uid="{EBCC0789-C72D-4ED9-B316-36BD9C117C07}"/>
  </hyperlinks>
  <pageMargins left="0.70866141732283472" right="0.70866141732283472" top="0.74803149606299213" bottom="0.74803149606299213" header="0.31496062992125984" footer="0.31496062992125984"/>
  <pageSetup paperSize="9" scale="95" fitToWidth="0" orientation="landscape" r:id="rId1"/>
  <headerFooter>
    <oddHeader>&amp;CDA
Bilag XV</oddHeader>
    <oddFooter>&amp;C&amp;P</oddFooter>
  </headerFooter>
  <ignoredErrors>
    <ignoredError sqref="B10:B29" numberStoredAsText="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B95E6-917E-4727-B792-54625D813D9B}">
  <sheetPr>
    <pageSetUpPr autoPageBreaks="0" fitToPage="1"/>
  </sheetPr>
  <dimension ref="A2:J14"/>
  <sheetViews>
    <sheetView showGridLines="0" zoomScaleNormal="100" zoomScaleSheetLayoutView="100" zoomScalePageLayoutView="80" workbookViewId="0">
      <selection activeCell="F1" sqref="F1"/>
    </sheetView>
  </sheetViews>
  <sheetFormatPr defaultColWidth="9.140625" defaultRowHeight="15" x14ac:dyDescent="0.25"/>
  <cols>
    <col min="2" max="2" width="6.28515625" customWidth="1"/>
    <col min="3" max="3" width="55" customWidth="1"/>
    <col min="4" max="4" width="19.28515625" customWidth="1"/>
    <col min="5" max="5" width="27" customWidth="1"/>
    <col min="6" max="6" width="23.7109375" customWidth="1"/>
    <col min="7" max="7" width="21.140625" customWidth="1"/>
    <col min="8" max="8" width="28.28515625" customWidth="1"/>
  </cols>
  <sheetData>
    <row r="2" spans="1:10" ht="21" customHeight="1" x14ac:dyDescent="0.35">
      <c r="A2" s="237"/>
      <c r="B2" s="866" t="s">
        <v>729</v>
      </c>
      <c r="D2" s="238"/>
      <c r="F2" s="238"/>
      <c r="G2" s="238"/>
      <c r="H2" s="238"/>
      <c r="J2" s="236"/>
    </row>
    <row r="5" spans="1:10" ht="32.25" customHeight="1" x14ac:dyDescent="0.25">
      <c r="B5" s="505"/>
      <c r="C5" s="620"/>
      <c r="D5" s="621" t="s">
        <v>730</v>
      </c>
      <c r="E5" s="622" t="s">
        <v>731</v>
      </c>
      <c r="F5" s="626"/>
      <c r="G5" s="626"/>
      <c r="H5" s="627"/>
      <c r="I5" s="236"/>
      <c r="J5" s="236"/>
    </row>
    <row r="6" spans="1:10" ht="32.25" customHeight="1" x14ac:dyDescent="0.25">
      <c r="B6" s="505"/>
      <c r="C6" s="620"/>
      <c r="D6" s="623"/>
      <c r="E6" s="624"/>
      <c r="F6" s="628" t="s">
        <v>1457</v>
      </c>
      <c r="G6" s="629" t="s">
        <v>1458</v>
      </c>
      <c r="H6" s="630"/>
      <c r="I6" s="236"/>
      <c r="J6" s="236"/>
    </row>
    <row r="7" spans="1:10" ht="32.25" customHeight="1" x14ac:dyDescent="0.25">
      <c r="B7" s="440" t="s">
        <v>1423</v>
      </c>
      <c r="C7" s="620"/>
      <c r="D7" s="623"/>
      <c r="E7" s="624"/>
      <c r="F7" s="631"/>
      <c r="G7" s="624"/>
      <c r="H7" s="632" t="s">
        <v>1459</v>
      </c>
      <c r="I7" s="236"/>
      <c r="J7" s="236"/>
    </row>
    <row r="8" spans="1:10" ht="14.25" customHeight="1" x14ac:dyDescent="0.25">
      <c r="B8" s="505"/>
      <c r="C8" s="620"/>
      <c r="D8" s="625" t="s">
        <v>103</v>
      </c>
      <c r="E8" s="633" t="s">
        <v>102</v>
      </c>
      <c r="F8" s="633" t="s">
        <v>97</v>
      </c>
      <c r="G8" s="633" t="s">
        <v>96</v>
      </c>
      <c r="H8" s="634" t="s">
        <v>95</v>
      </c>
      <c r="I8" s="236"/>
      <c r="J8" s="236"/>
    </row>
    <row r="9" spans="1:10" ht="11.25" customHeight="1" x14ac:dyDescent="0.25">
      <c r="B9" s="16">
        <v>1</v>
      </c>
      <c r="C9" s="28" t="s">
        <v>583</v>
      </c>
      <c r="D9" s="635">
        <v>1302436.7695100019</v>
      </c>
      <c r="E9" s="29">
        <v>2803714.2304899981</v>
      </c>
      <c r="F9" s="29">
        <v>2748640.5408199979</v>
      </c>
      <c r="G9" s="29">
        <v>55073.68967</v>
      </c>
      <c r="H9" s="636">
        <v>0</v>
      </c>
      <c r="I9" s="236"/>
      <c r="J9" s="236"/>
    </row>
    <row r="10" spans="1:10" ht="11.25" customHeight="1" x14ac:dyDescent="0.25">
      <c r="B10" s="16">
        <v>2</v>
      </c>
      <c r="C10" s="28" t="s">
        <v>732</v>
      </c>
      <c r="D10" s="29">
        <v>0</v>
      </c>
      <c r="E10" s="29">
        <v>0</v>
      </c>
      <c r="F10" s="96">
        <v>0</v>
      </c>
      <c r="G10" s="29">
        <v>0</v>
      </c>
      <c r="H10" s="637" t="s">
        <v>733</v>
      </c>
      <c r="I10" s="236"/>
      <c r="J10" s="236"/>
    </row>
    <row r="11" spans="1:10" ht="12" customHeight="1" x14ac:dyDescent="0.25">
      <c r="B11" s="16">
        <v>3</v>
      </c>
      <c r="C11" s="28" t="s">
        <v>0</v>
      </c>
      <c r="D11" s="29">
        <v>1302436.7695100019</v>
      </c>
      <c r="E11" s="29">
        <v>2803714.2304899981</v>
      </c>
      <c r="F11" s="29">
        <v>2748640.5408199979</v>
      </c>
      <c r="G11" s="29">
        <v>55073.68967</v>
      </c>
      <c r="H11" s="29">
        <v>0</v>
      </c>
      <c r="I11" s="236"/>
      <c r="J11" s="236"/>
    </row>
    <row r="12" spans="1:10" x14ac:dyDescent="0.25">
      <c r="B12" s="16">
        <v>4</v>
      </c>
      <c r="C12" s="638" t="s">
        <v>734</v>
      </c>
      <c r="D12" s="639">
        <v>57079.189839999999</v>
      </c>
      <c r="E12" s="29">
        <v>182222.81015999999</v>
      </c>
      <c r="F12" s="29">
        <v>151908.35656000004</v>
      </c>
      <c r="G12" s="640">
        <v>0</v>
      </c>
      <c r="H12" s="636">
        <v>0</v>
      </c>
      <c r="I12" s="236"/>
      <c r="J12" s="236"/>
    </row>
    <row r="13" spans="1:10" x14ac:dyDescent="0.25">
      <c r="B13" s="13" t="s">
        <v>471</v>
      </c>
      <c r="C13" s="638" t="s">
        <v>735</v>
      </c>
      <c r="D13" s="639">
        <v>57079.189839999999</v>
      </c>
      <c r="E13" s="29">
        <v>182222.81015999999</v>
      </c>
      <c r="F13" s="637"/>
      <c r="G13" s="637"/>
      <c r="H13" s="637"/>
      <c r="I13" s="236"/>
      <c r="J13" s="236"/>
    </row>
    <row r="14" spans="1:10" x14ac:dyDescent="0.25">
      <c r="C14" s="90"/>
    </row>
  </sheetData>
  <hyperlinks>
    <hyperlink ref="B2" location="Indhold!B30" display="Skema EU CR3 - Overblik over kreditrisikoreduktionsteknikker  Offentliggørelse af anvendelsen af kreditrisikoreduktionsteknikker" xr:uid="{12DE48EE-06B1-4D14-817B-FCA362E09F4C}"/>
  </hyperlinks>
  <pageMargins left="0.70866141732283472" right="0.70866141732283472" top="0.74803149606299213" bottom="0.74803149606299213" header="0.31496062992125984" footer="0.31496062992125984"/>
  <pageSetup paperSize="9" scale="68" orientation="landscape" r:id="rId1"/>
  <headerFooter>
    <oddHeader>&amp;CDA
Bilag XVII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51A6D-06BB-4231-B8DB-F8F656DCCD6E}">
  <sheetPr>
    <pageSetUpPr fitToPage="1"/>
  </sheetPr>
  <dimension ref="B2:I26"/>
  <sheetViews>
    <sheetView showGridLines="0" zoomScaleNormal="100" zoomScalePageLayoutView="80" workbookViewId="0">
      <selection activeCell="F1" sqref="F1"/>
    </sheetView>
  </sheetViews>
  <sheetFormatPr defaultRowHeight="15" x14ac:dyDescent="0.25"/>
  <cols>
    <col min="2" max="2" width="11" bestFit="1" customWidth="1"/>
    <col min="3" max="3" width="69.140625" customWidth="1"/>
    <col min="4" max="9" width="24.85546875" customWidth="1"/>
  </cols>
  <sheetData>
    <row r="2" spans="2:9" x14ac:dyDescent="0.25">
      <c r="B2" s="866" t="s">
        <v>736</v>
      </c>
    </row>
    <row r="5" spans="2:9" x14ac:dyDescent="0.25">
      <c r="B5" s="450"/>
      <c r="C5" s="1090" t="s">
        <v>737</v>
      </c>
      <c r="D5" s="1093" t="s">
        <v>738</v>
      </c>
      <c r="E5" s="1093"/>
      <c r="F5" s="1093" t="s">
        <v>739</v>
      </c>
      <c r="G5" s="1093"/>
      <c r="H5" s="1093" t="s">
        <v>740</v>
      </c>
      <c r="I5" s="1093"/>
    </row>
    <row r="6" spans="2:9" ht="30" x14ac:dyDescent="0.25">
      <c r="B6" s="644" t="s">
        <v>1423</v>
      </c>
      <c r="C6" s="1091"/>
      <c r="D6" s="469" t="s">
        <v>661</v>
      </c>
      <c r="E6" s="469" t="s">
        <v>415</v>
      </c>
      <c r="F6" s="469" t="s">
        <v>661</v>
      </c>
      <c r="G6" s="469" t="s">
        <v>415</v>
      </c>
      <c r="H6" s="469" t="s">
        <v>741</v>
      </c>
      <c r="I6" s="469" t="s">
        <v>742</v>
      </c>
    </row>
    <row r="7" spans="2:9" x14ac:dyDescent="0.25">
      <c r="B7" s="478"/>
      <c r="C7" s="1092"/>
      <c r="D7" s="465" t="s">
        <v>103</v>
      </c>
      <c r="E7" s="465" t="s">
        <v>102</v>
      </c>
      <c r="F7" s="465" t="s">
        <v>97</v>
      </c>
      <c r="G7" s="465" t="s">
        <v>96</v>
      </c>
      <c r="H7" s="465" t="s">
        <v>95</v>
      </c>
      <c r="I7" s="465" t="s">
        <v>111</v>
      </c>
    </row>
    <row r="8" spans="2:9" x14ac:dyDescent="0.25">
      <c r="B8" s="240">
        <v>1</v>
      </c>
      <c r="C8" s="641" t="s">
        <v>743</v>
      </c>
      <c r="D8" s="642">
        <f>735936250/1000</f>
        <v>735936.25</v>
      </c>
      <c r="E8" s="643">
        <v>0</v>
      </c>
      <c r="F8" s="643">
        <f>748226437/1000</f>
        <v>748226.43700000003</v>
      </c>
      <c r="G8" s="643">
        <f>3796319/1000</f>
        <v>3796.319</v>
      </c>
      <c r="H8" s="643">
        <v>0</v>
      </c>
      <c r="I8" s="243">
        <f t="shared" ref="I8:I9" si="0">+H8/(F8+G8)*100</f>
        <v>0</v>
      </c>
    </row>
    <row r="9" spans="2:9" x14ac:dyDescent="0.25">
      <c r="B9" s="240">
        <v>2</v>
      </c>
      <c r="C9" s="456" t="s">
        <v>744</v>
      </c>
      <c r="D9" s="241">
        <f>970311/1000</f>
        <v>970.31100000000004</v>
      </c>
      <c r="E9" s="242">
        <f>7280035/1000</f>
        <v>7280.0349999999999</v>
      </c>
      <c r="F9" s="242">
        <f>22179269/1000</f>
        <v>22179.269</v>
      </c>
      <c r="G9" s="242">
        <v>0</v>
      </c>
      <c r="H9" s="242">
        <v>0</v>
      </c>
      <c r="I9" s="243">
        <f t="shared" si="0"/>
        <v>0</v>
      </c>
    </row>
    <row r="10" spans="2:9" x14ac:dyDescent="0.25">
      <c r="B10" s="240">
        <v>3</v>
      </c>
      <c r="C10" s="456" t="s">
        <v>745</v>
      </c>
      <c r="D10" s="241">
        <v>0</v>
      </c>
      <c r="E10" s="242">
        <v>0</v>
      </c>
      <c r="F10" s="242">
        <v>0</v>
      </c>
      <c r="G10" s="242">
        <v>0</v>
      </c>
      <c r="H10" s="242">
        <v>0</v>
      </c>
      <c r="I10" s="243">
        <v>0</v>
      </c>
    </row>
    <row r="11" spans="2:9" x14ac:dyDescent="0.25">
      <c r="B11" s="240">
        <v>4</v>
      </c>
      <c r="C11" s="456" t="s">
        <v>746</v>
      </c>
      <c r="D11" s="241">
        <v>0</v>
      </c>
      <c r="E11" s="242">
        <v>0</v>
      </c>
      <c r="F11" s="242">
        <v>0</v>
      </c>
      <c r="G11" s="242">
        <v>0</v>
      </c>
      <c r="H11" s="242">
        <v>0</v>
      </c>
      <c r="I11" s="243">
        <v>0</v>
      </c>
    </row>
    <row r="12" spans="2:9" x14ac:dyDescent="0.25">
      <c r="B12" s="240">
        <v>5</v>
      </c>
      <c r="C12" s="456" t="s">
        <v>747</v>
      </c>
      <c r="D12" s="241">
        <v>0</v>
      </c>
      <c r="E12" s="242">
        <v>0</v>
      </c>
      <c r="F12" s="242">
        <v>0</v>
      </c>
      <c r="G12" s="242">
        <v>0</v>
      </c>
      <c r="H12" s="242">
        <v>0</v>
      </c>
      <c r="I12" s="243">
        <v>0</v>
      </c>
    </row>
    <row r="13" spans="2:9" x14ac:dyDescent="0.25">
      <c r="B13" s="240">
        <v>6</v>
      </c>
      <c r="C13" s="456" t="s">
        <v>476</v>
      </c>
      <c r="D13" s="241">
        <f>142835949/1000</f>
        <v>142835.94899999999</v>
      </c>
      <c r="E13" s="242">
        <f>71951552/1000</f>
        <v>71951.551999999996</v>
      </c>
      <c r="F13" s="242">
        <f>142835949/1000</f>
        <v>142835.94899999999</v>
      </c>
      <c r="G13" s="242">
        <f>31540002/1000</f>
        <v>31540.002</v>
      </c>
      <c r="H13" s="242">
        <f>(34274306+6308000)/1000</f>
        <v>40582.305999999997</v>
      </c>
      <c r="I13" s="243">
        <f t="shared" ref="I13:I24" si="1">+H13/(F13+G13)*100</f>
        <v>23.272880100306949</v>
      </c>
    </row>
    <row r="14" spans="2:9" x14ac:dyDescent="0.25">
      <c r="B14" s="240">
        <v>7</v>
      </c>
      <c r="C14" s="456" t="s">
        <v>482</v>
      </c>
      <c r="D14" s="241">
        <f>1295658593/1000</f>
        <v>1295658.5930000001</v>
      </c>
      <c r="E14" s="242">
        <f>789639352/1000</f>
        <v>789639.35199999996</v>
      </c>
      <c r="F14" s="242">
        <f>1245215932/1000</f>
        <v>1245215.932</v>
      </c>
      <c r="G14" s="242">
        <f>34303610/1000</f>
        <v>34303.61</v>
      </c>
      <c r="H14" s="242">
        <f>(1060562944+27619020)/1000</f>
        <v>1088181.9639999999</v>
      </c>
      <c r="I14" s="243">
        <f t="shared" si="1"/>
        <v>85.046138670072764</v>
      </c>
    </row>
    <row r="15" spans="2:9" x14ac:dyDescent="0.25">
      <c r="B15" s="240">
        <v>8</v>
      </c>
      <c r="C15" s="456" t="s">
        <v>748</v>
      </c>
      <c r="D15" s="241">
        <f>1314563065/1000</f>
        <v>1314563.0649999999</v>
      </c>
      <c r="E15" s="242">
        <f>2503271892/1000</f>
        <v>2503271.892</v>
      </c>
      <c r="F15" s="242">
        <f>1299017908/1000</f>
        <v>1299017.9080000001</v>
      </c>
      <c r="G15" s="242">
        <f>442186735/1000</f>
        <v>442186.73499999999</v>
      </c>
      <c r="H15" s="242">
        <f>(835007460+308692622)/1000</f>
        <v>1143700.0819999999</v>
      </c>
      <c r="I15" s="243">
        <f t="shared" si="1"/>
        <v>65.684414901942105</v>
      </c>
    </row>
    <row r="16" spans="2:9" x14ac:dyDescent="0.25">
      <c r="B16" s="240">
        <v>9</v>
      </c>
      <c r="C16" s="456" t="s">
        <v>478</v>
      </c>
      <c r="D16" s="241">
        <f>1200121129/1000</f>
        <v>1200121.129</v>
      </c>
      <c r="E16" s="242">
        <f>386254319/1000</f>
        <v>386254.31900000002</v>
      </c>
      <c r="F16" s="242">
        <f>1200121129/1000</f>
        <v>1200121.129</v>
      </c>
      <c r="G16" s="242">
        <f>386129792/1000</f>
        <v>386129.79200000002</v>
      </c>
      <c r="H16" s="242">
        <f>(427660221+136583329)/1000</f>
        <v>564243.55000000005</v>
      </c>
      <c r="I16" s="243">
        <f t="shared" si="1"/>
        <v>35.570888724483204</v>
      </c>
    </row>
    <row r="17" spans="2:9" x14ac:dyDescent="0.25">
      <c r="B17" s="240">
        <v>10</v>
      </c>
      <c r="C17" s="456" t="s">
        <v>484</v>
      </c>
      <c r="D17" s="241">
        <f>181244475/1000</f>
        <v>181244.47500000001</v>
      </c>
      <c r="E17" s="242">
        <f>51446059/1000</f>
        <v>51446.059000000001</v>
      </c>
      <c r="F17" s="242">
        <f>161310237/1000</f>
        <v>161310.23699999999</v>
      </c>
      <c r="G17" s="242">
        <f>22473641/1000</f>
        <v>22473.641</v>
      </c>
      <c r="H17" s="242">
        <f>(215072856+23368268)/1000</f>
        <v>238441.12400000001</v>
      </c>
      <c r="I17" s="243">
        <f t="shared" si="1"/>
        <v>129.73995684213392</v>
      </c>
    </row>
    <row r="18" spans="2:9" x14ac:dyDescent="0.25">
      <c r="B18" s="240">
        <v>11</v>
      </c>
      <c r="C18" s="456" t="s">
        <v>749</v>
      </c>
      <c r="D18" s="241">
        <f>75707060/1000</f>
        <v>75707.06</v>
      </c>
      <c r="E18" s="242">
        <f>2914371/1000</f>
        <v>2914.3710000000001</v>
      </c>
      <c r="F18" s="242">
        <f>1860045/1000</f>
        <v>1860.0450000000001</v>
      </c>
      <c r="G18" s="242">
        <v>0</v>
      </c>
      <c r="H18" s="242">
        <f>2790067/1000</f>
        <v>2790.067</v>
      </c>
      <c r="I18" s="243">
        <f t="shared" si="1"/>
        <v>149.99997311892992</v>
      </c>
    </row>
    <row r="19" spans="2:9" x14ac:dyDescent="0.25">
      <c r="B19" s="240">
        <v>12</v>
      </c>
      <c r="C19" s="456" t="s">
        <v>470</v>
      </c>
      <c r="D19" s="241">
        <v>0</v>
      </c>
      <c r="E19" s="242">
        <v>0</v>
      </c>
      <c r="F19" s="242">
        <v>0</v>
      </c>
      <c r="G19" s="242">
        <v>0</v>
      </c>
      <c r="H19" s="242">
        <v>0</v>
      </c>
      <c r="I19" s="243">
        <v>0</v>
      </c>
    </row>
    <row r="20" spans="2:9" x14ac:dyDescent="0.25">
      <c r="B20" s="240">
        <v>13</v>
      </c>
      <c r="C20" s="456" t="s">
        <v>750</v>
      </c>
      <c r="D20" s="241">
        <v>0</v>
      </c>
      <c r="E20" s="242">
        <v>0</v>
      </c>
      <c r="F20" s="242">
        <v>0</v>
      </c>
      <c r="G20" s="242">
        <v>0</v>
      </c>
      <c r="H20" s="242">
        <v>0</v>
      </c>
      <c r="I20" s="243">
        <v>0</v>
      </c>
    </row>
    <row r="21" spans="2:9" x14ac:dyDescent="0.25">
      <c r="B21" s="240">
        <v>14</v>
      </c>
      <c r="C21" s="456" t="s">
        <v>751</v>
      </c>
      <c r="D21" s="241">
        <v>0</v>
      </c>
      <c r="E21" s="242">
        <v>0</v>
      </c>
      <c r="F21" s="242">
        <v>0</v>
      </c>
      <c r="G21" s="242">
        <v>0</v>
      </c>
      <c r="H21" s="242">
        <v>0</v>
      </c>
      <c r="I21" s="243">
        <v>0</v>
      </c>
    </row>
    <row r="22" spans="2:9" x14ac:dyDescent="0.25">
      <c r="B22" s="240">
        <v>15</v>
      </c>
      <c r="C22" s="456" t="s">
        <v>182</v>
      </c>
      <c r="D22" s="241">
        <f>224851695/1000</f>
        <v>224851.69500000001</v>
      </c>
      <c r="E22" s="242">
        <v>0</v>
      </c>
      <c r="F22" s="242">
        <f>224851695/1000</f>
        <v>224851.69500000001</v>
      </c>
      <c r="G22" s="242">
        <v>0</v>
      </c>
      <c r="H22" s="242">
        <f>314044731/1000</f>
        <v>314044.73100000003</v>
      </c>
      <c r="I22" s="243">
        <f t="shared" si="1"/>
        <v>139.66749550186847</v>
      </c>
    </row>
    <row r="23" spans="2:9" x14ac:dyDescent="0.25">
      <c r="B23" s="240">
        <v>16</v>
      </c>
      <c r="C23" s="456" t="s">
        <v>752</v>
      </c>
      <c r="D23" s="241">
        <f>235150487/1000</f>
        <v>235150.48699999999</v>
      </c>
      <c r="E23" s="242">
        <v>0</v>
      </c>
      <c r="F23" s="242">
        <f>235150487/1000</f>
        <v>235150.48699999999</v>
      </c>
      <c r="G23" s="242">
        <v>0</v>
      </c>
      <c r="H23" s="242">
        <f>235031719/1000</f>
        <v>235031.71900000001</v>
      </c>
      <c r="I23" s="243">
        <f t="shared" si="1"/>
        <v>99.949492768858278</v>
      </c>
    </row>
    <row r="24" spans="2:9" x14ac:dyDescent="0.25">
      <c r="B24" s="245">
        <v>17</v>
      </c>
      <c r="C24" s="246" t="s">
        <v>753</v>
      </c>
      <c r="D24" s="241">
        <f>SUM(D8:D23)</f>
        <v>5407039.0139999995</v>
      </c>
      <c r="E24" s="241">
        <f t="shared" ref="E24:H24" si="2">SUM(E8:E23)</f>
        <v>3812757.58</v>
      </c>
      <c r="F24" s="241">
        <f t="shared" si="2"/>
        <v>5280769.0879999995</v>
      </c>
      <c r="G24" s="241">
        <f t="shared" si="2"/>
        <v>920430.09899999993</v>
      </c>
      <c r="H24" s="241">
        <f t="shared" si="2"/>
        <v>3627015.5429999996</v>
      </c>
      <c r="I24" s="243">
        <f t="shared" si="1"/>
        <v>58.488937923548114</v>
      </c>
    </row>
    <row r="26" spans="2:9" x14ac:dyDescent="0.25">
      <c r="E26" s="919"/>
    </row>
  </sheetData>
  <mergeCells count="4">
    <mergeCell ref="C5:C7"/>
    <mergeCell ref="D5:E5"/>
    <mergeCell ref="F5:G5"/>
    <mergeCell ref="H5:I5"/>
  </mergeCells>
  <hyperlinks>
    <hyperlink ref="B2" location="Indhold!B32" display="Skema EU CR4 — Standardmetode — Kreditrisikoeksponering og virkninger af kreditrisikoreduktionsteknikker" xr:uid="{3A45BCC7-831A-47D6-9B08-A77E0F8B5DD0}"/>
  </hyperlinks>
  <pageMargins left="0.70866141732283472" right="0.70866141732283472" top="0.74803149606299213" bottom="0.74803149606299213" header="0.31496062992125984" footer="0.31496062992125984"/>
  <pageSetup paperSize="9" scale="58" fitToHeight="0" orientation="landscape" r:id="rId1"/>
  <headerFooter>
    <oddHeader>&amp;CDA
Bilag XIX</oddHead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6F9E1-763C-46BB-9DE0-428B3FC8720F}">
  <sheetPr>
    <pageSetUpPr fitToPage="1"/>
  </sheetPr>
  <dimension ref="B2:V26"/>
  <sheetViews>
    <sheetView showGridLines="0" zoomScaleNormal="100" workbookViewId="0">
      <selection activeCell="F1" sqref="F1"/>
    </sheetView>
  </sheetViews>
  <sheetFormatPr defaultRowHeight="15" x14ac:dyDescent="0.25"/>
  <cols>
    <col min="2" max="2" width="11" bestFit="1" customWidth="1"/>
    <col min="3" max="3" width="38.140625" customWidth="1"/>
    <col min="4" max="4" width="10" bestFit="1" customWidth="1"/>
    <col min="5" max="7" width="4.42578125" customWidth="1"/>
    <col min="8" max="8" width="8.42578125" bestFit="1" customWidth="1"/>
    <col min="9" max="9" width="10" bestFit="1" customWidth="1"/>
    <col min="10" max="10" width="8.42578125" bestFit="1" customWidth="1"/>
    <col min="11" max="11" width="4.42578125" customWidth="1"/>
    <col min="12" max="13" width="10" bestFit="1" customWidth="1"/>
    <col min="14" max="14" width="8.42578125" bestFit="1" customWidth="1"/>
    <col min="15" max="15" width="8" bestFit="1" customWidth="1"/>
    <col min="16" max="16" width="6.140625" customWidth="1"/>
    <col min="17" max="17" width="7" customWidth="1"/>
    <col min="18" max="18" width="7.42578125" customWidth="1"/>
    <col min="19" max="19" width="10" bestFit="1" customWidth="1"/>
    <col min="20" max="20" width="16" bestFit="1" customWidth="1"/>
    <col min="21" max="21" width="11" bestFit="1" customWidth="1"/>
  </cols>
  <sheetData>
    <row r="2" spans="2:22" x14ac:dyDescent="0.25">
      <c r="B2" s="866" t="s">
        <v>754</v>
      </c>
    </row>
    <row r="5" spans="2:22" ht="15" customHeight="1" x14ac:dyDescent="0.25">
      <c r="B5" s="450"/>
      <c r="C5" s="1090" t="s">
        <v>737</v>
      </c>
      <c r="D5" s="1094" t="s">
        <v>755</v>
      </c>
      <c r="E5" s="1095"/>
      <c r="F5" s="1095"/>
      <c r="G5" s="1095"/>
      <c r="H5" s="1095"/>
      <c r="I5" s="1095"/>
      <c r="J5" s="1095"/>
      <c r="K5" s="1095"/>
      <c r="L5" s="1095"/>
      <c r="M5" s="1095"/>
      <c r="N5" s="1095"/>
      <c r="O5" s="1095"/>
      <c r="P5" s="1095"/>
      <c r="Q5" s="1095"/>
      <c r="R5" s="1096"/>
      <c r="S5" s="1097" t="s">
        <v>0</v>
      </c>
      <c r="T5" s="1097" t="s">
        <v>756</v>
      </c>
    </row>
    <row r="6" spans="2:22" x14ac:dyDescent="0.25">
      <c r="B6" s="644" t="s">
        <v>1423</v>
      </c>
      <c r="C6" s="1091"/>
      <c r="D6" s="645">
        <v>0</v>
      </c>
      <c r="E6" s="645">
        <v>0.02</v>
      </c>
      <c r="F6" s="645">
        <v>0.04</v>
      </c>
      <c r="G6" s="645">
        <v>0.1</v>
      </c>
      <c r="H6" s="645">
        <v>0.2</v>
      </c>
      <c r="I6" s="645">
        <v>0.35</v>
      </c>
      <c r="J6" s="645">
        <v>0.5</v>
      </c>
      <c r="K6" s="645">
        <v>0.7</v>
      </c>
      <c r="L6" s="645">
        <v>0.75</v>
      </c>
      <c r="M6" s="645">
        <v>1</v>
      </c>
      <c r="N6" s="645">
        <v>1.5</v>
      </c>
      <c r="O6" s="645">
        <v>2.5</v>
      </c>
      <c r="P6" s="645">
        <v>3.7</v>
      </c>
      <c r="Q6" s="645">
        <v>12.5</v>
      </c>
      <c r="R6" s="645" t="s">
        <v>757</v>
      </c>
      <c r="S6" s="1097"/>
      <c r="T6" s="1097"/>
    </row>
    <row r="7" spans="2:22" x14ac:dyDescent="0.25">
      <c r="B7" s="478"/>
      <c r="C7" s="1092"/>
      <c r="D7" s="465" t="s">
        <v>103</v>
      </c>
      <c r="E7" s="465" t="s">
        <v>102</v>
      </c>
      <c r="F7" s="465" t="s">
        <v>97</v>
      </c>
      <c r="G7" s="465" t="s">
        <v>96</v>
      </c>
      <c r="H7" s="465" t="s">
        <v>95</v>
      </c>
      <c r="I7" s="465" t="s">
        <v>111</v>
      </c>
      <c r="J7" s="465" t="s">
        <v>112</v>
      </c>
      <c r="K7" s="465" t="s">
        <v>164</v>
      </c>
      <c r="L7" s="465" t="s">
        <v>323</v>
      </c>
      <c r="M7" s="465" t="s">
        <v>324</v>
      </c>
      <c r="N7" s="465" t="s">
        <v>325</v>
      </c>
      <c r="O7" s="465" t="s">
        <v>326</v>
      </c>
      <c r="P7" s="465" t="s">
        <v>327</v>
      </c>
      <c r="Q7" s="465" t="s">
        <v>354</v>
      </c>
      <c r="R7" s="465" t="s">
        <v>570</v>
      </c>
      <c r="S7" s="465" t="s">
        <v>758</v>
      </c>
      <c r="T7" s="465" t="s">
        <v>759</v>
      </c>
    </row>
    <row r="8" spans="2:22" x14ac:dyDescent="0.25">
      <c r="B8" s="646">
        <v>1</v>
      </c>
      <c r="C8" s="647" t="s">
        <v>743</v>
      </c>
      <c r="D8" s="642">
        <f>752022756/1000</f>
        <v>752022.75600000005</v>
      </c>
      <c r="E8" s="643">
        <v>0</v>
      </c>
      <c r="F8" s="643">
        <v>0</v>
      </c>
      <c r="G8" s="643">
        <v>0</v>
      </c>
      <c r="H8" s="643">
        <v>0</v>
      </c>
      <c r="I8" s="643">
        <v>0</v>
      </c>
      <c r="J8" s="643">
        <v>0</v>
      </c>
      <c r="K8" s="643">
        <v>0</v>
      </c>
      <c r="L8" s="643">
        <v>0</v>
      </c>
      <c r="M8" s="643">
        <v>0</v>
      </c>
      <c r="N8" s="643">
        <v>0</v>
      </c>
      <c r="O8" s="643">
        <v>0</v>
      </c>
      <c r="P8" s="643">
        <v>0</v>
      </c>
      <c r="Q8" s="643">
        <v>0</v>
      </c>
      <c r="R8" s="643">
        <v>0</v>
      </c>
      <c r="S8" s="643">
        <f>SUM(D8:R8)</f>
        <v>752022.75600000005</v>
      </c>
      <c r="T8" s="643">
        <f>+S8</f>
        <v>752022.75600000005</v>
      </c>
    </row>
    <row r="9" spans="2:22" x14ac:dyDescent="0.25">
      <c r="B9" s="646">
        <v>2</v>
      </c>
      <c r="C9" s="456" t="s">
        <v>744</v>
      </c>
      <c r="D9" s="241">
        <f>22179269/1000</f>
        <v>22179.269</v>
      </c>
      <c r="E9" s="242">
        <v>0</v>
      </c>
      <c r="F9" s="242">
        <v>0</v>
      </c>
      <c r="G9" s="242">
        <v>0</v>
      </c>
      <c r="H9" s="242">
        <v>0</v>
      </c>
      <c r="I9" s="242">
        <v>0</v>
      </c>
      <c r="J9" s="242">
        <v>0</v>
      </c>
      <c r="K9" s="242">
        <v>0</v>
      </c>
      <c r="L9" s="242">
        <v>0</v>
      </c>
      <c r="M9" s="242">
        <v>0</v>
      </c>
      <c r="N9" s="242">
        <v>0</v>
      </c>
      <c r="O9" s="242">
        <v>0</v>
      </c>
      <c r="P9" s="242">
        <v>0</v>
      </c>
      <c r="Q9" s="242">
        <v>0</v>
      </c>
      <c r="R9" s="242">
        <v>0</v>
      </c>
      <c r="S9" s="242">
        <f t="shared" ref="S9:S23" si="0">SUM(D9:R9)</f>
        <v>22179.269</v>
      </c>
      <c r="T9" s="242">
        <f>+S9</f>
        <v>22179.269</v>
      </c>
    </row>
    <row r="10" spans="2:22" x14ac:dyDescent="0.25">
      <c r="B10" s="646">
        <v>3</v>
      </c>
      <c r="C10" s="456" t="s">
        <v>745</v>
      </c>
      <c r="D10" s="241">
        <v>0</v>
      </c>
      <c r="E10" s="242">
        <v>0</v>
      </c>
      <c r="F10" s="242">
        <v>0</v>
      </c>
      <c r="G10" s="242">
        <v>0</v>
      </c>
      <c r="H10" s="242">
        <v>0</v>
      </c>
      <c r="I10" s="242">
        <v>0</v>
      </c>
      <c r="J10" s="242">
        <v>0</v>
      </c>
      <c r="K10" s="242">
        <v>0</v>
      </c>
      <c r="L10" s="242">
        <v>0</v>
      </c>
      <c r="M10" s="242">
        <v>0</v>
      </c>
      <c r="N10" s="242">
        <v>0</v>
      </c>
      <c r="O10" s="242">
        <v>0</v>
      </c>
      <c r="P10" s="242">
        <v>0</v>
      </c>
      <c r="Q10" s="242">
        <v>0</v>
      </c>
      <c r="R10" s="242">
        <v>0</v>
      </c>
      <c r="S10" s="242">
        <f t="shared" si="0"/>
        <v>0</v>
      </c>
      <c r="T10" s="242">
        <f>+S10</f>
        <v>0</v>
      </c>
    </row>
    <row r="11" spans="2:22" x14ac:dyDescent="0.25">
      <c r="B11" s="646">
        <v>4</v>
      </c>
      <c r="C11" s="456" t="s">
        <v>746</v>
      </c>
      <c r="D11" s="241">
        <v>0</v>
      </c>
      <c r="E11" s="242">
        <v>0</v>
      </c>
      <c r="F11" s="242">
        <v>0</v>
      </c>
      <c r="G11" s="242">
        <v>0</v>
      </c>
      <c r="H11" s="242">
        <v>0</v>
      </c>
      <c r="I11" s="242">
        <v>0</v>
      </c>
      <c r="J11" s="242">
        <v>0</v>
      </c>
      <c r="K11" s="242">
        <v>0</v>
      </c>
      <c r="L11" s="242">
        <v>0</v>
      </c>
      <c r="M11" s="242">
        <v>0</v>
      </c>
      <c r="N11" s="242">
        <v>0</v>
      </c>
      <c r="O11" s="242">
        <v>0</v>
      </c>
      <c r="P11" s="242">
        <v>0</v>
      </c>
      <c r="Q11" s="242">
        <v>0</v>
      </c>
      <c r="R11" s="242">
        <v>0</v>
      </c>
      <c r="S11" s="242">
        <f t="shared" si="0"/>
        <v>0</v>
      </c>
      <c r="T11" s="242">
        <f t="shared" ref="T11:T12" si="1">+S11</f>
        <v>0</v>
      </c>
    </row>
    <row r="12" spans="2:22" x14ac:dyDescent="0.25">
      <c r="B12" s="646">
        <v>5</v>
      </c>
      <c r="C12" s="456" t="s">
        <v>747</v>
      </c>
      <c r="D12" s="241">
        <v>0</v>
      </c>
      <c r="E12" s="242">
        <v>0</v>
      </c>
      <c r="F12" s="242">
        <v>0</v>
      </c>
      <c r="G12" s="242">
        <v>0</v>
      </c>
      <c r="H12" s="242">
        <v>0</v>
      </c>
      <c r="I12" s="242">
        <v>0</v>
      </c>
      <c r="J12" s="242">
        <v>0</v>
      </c>
      <c r="K12" s="242">
        <v>0</v>
      </c>
      <c r="L12" s="242">
        <v>0</v>
      </c>
      <c r="M12" s="242">
        <v>0</v>
      </c>
      <c r="N12" s="242">
        <v>0</v>
      </c>
      <c r="O12" s="242">
        <v>0</v>
      </c>
      <c r="P12" s="242">
        <v>0</v>
      </c>
      <c r="Q12" s="242">
        <v>0</v>
      </c>
      <c r="R12" s="242">
        <v>0</v>
      </c>
      <c r="S12" s="242">
        <f t="shared" si="0"/>
        <v>0</v>
      </c>
      <c r="T12" s="242">
        <f t="shared" si="1"/>
        <v>0</v>
      </c>
    </row>
    <row r="13" spans="2:22" x14ac:dyDescent="0.25">
      <c r="B13" s="646">
        <v>6</v>
      </c>
      <c r="C13" s="456" t="s">
        <v>476</v>
      </c>
      <c r="D13" s="241">
        <v>0</v>
      </c>
      <c r="E13" s="242">
        <v>0</v>
      </c>
      <c r="F13" s="242">
        <v>0</v>
      </c>
      <c r="G13" s="242">
        <v>0</v>
      </c>
      <c r="H13" s="242">
        <f>(165847672-10495442)/1000</f>
        <v>155352.23000000001</v>
      </c>
      <c r="I13" s="242">
        <v>0</v>
      </c>
      <c r="J13" s="242">
        <f>(19174597-150876)/1000</f>
        <v>19023.721000000001</v>
      </c>
      <c r="K13" s="242">
        <v>0</v>
      </c>
      <c r="L13" s="242">
        <v>0</v>
      </c>
      <c r="M13" s="242">
        <v>0</v>
      </c>
      <c r="N13" s="242">
        <v>0</v>
      </c>
      <c r="O13" s="242">
        <v>0</v>
      </c>
      <c r="P13" s="242">
        <v>0</v>
      </c>
      <c r="Q13" s="242">
        <v>0</v>
      </c>
      <c r="R13" s="242">
        <v>0</v>
      </c>
      <c r="S13" s="242">
        <f t="shared" si="0"/>
        <v>174375.951</v>
      </c>
      <c r="T13" s="242">
        <f>+S13-(38809106/1000)</f>
        <v>135566.845</v>
      </c>
      <c r="U13" s="923"/>
      <c r="V13" s="792"/>
    </row>
    <row r="14" spans="2:22" x14ac:dyDescent="0.25">
      <c r="B14" s="646">
        <v>7</v>
      </c>
      <c r="C14" s="456" t="s">
        <v>482</v>
      </c>
      <c r="D14" s="241">
        <v>0</v>
      </c>
      <c r="E14" s="242">
        <v>0</v>
      </c>
      <c r="F14" s="242">
        <v>0</v>
      </c>
      <c r="G14" s="242">
        <v>0</v>
      </c>
      <c r="H14" s="242">
        <v>0</v>
      </c>
      <c r="I14" s="242">
        <v>0</v>
      </c>
      <c r="J14" s="242">
        <v>0</v>
      </c>
      <c r="K14" s="242">
        <v>0</v>
      </c>
      <c r="L14" s="242">
        <v>0</v>
      </c>
      <c r="M14" s="242">
        <f>(1279527962-8420)/1000</f>
        <v>1279519.5419999999</v>
      </c>
      <c r="N14" s="242">
        <v>0</v>
      </c>
      <c r="O14" s="242">
        <v>0</v>
      </c>
      <c r="P14" s="242">
        <v>0</v>
      </c>
      <c r="Q14" s="242">
        <v>0</v>
      </c>
      <c r="R14" s="242">
        <v>0</v>
      </c>
      <c r="S14" s="242">
        <f t="shared" si="0"/>
        <v>1279519.5419999999</v>
      </c>
      <c r="T14" s="242">
        <f>+S14</f>
        <v>1279519.5419999999</v>
      </c>
    </row>
    <row r="15" spans="2:22" x14ac:dyDescent="0.25">
      <c r="B15" s="646">
        <v>8</v>
      </c>
      <c r="C15" s="456" t="s">
        <v>480</v>
      </c>
      <c r="D15" s="241">
        <v>0</v>
      </c>
      <c r="E15" s="242">
        <v>0</v>
      </c>
      <c r="F15" s="242">
        <v>0</v>
      </c>
      <c r="G15" s="242">
        <v>0</v>
      </c>
      <c r="H15" s="242">
        <v>0</v>
      </c>
      <c r="I15" s="242">
        <v>0</v>
      </c>
      <c r="J15" s="242">
        <v>0</v>
      </c>
      <c r="K15" s="242">
        <v>0</v>
      </c>
      <c r="L15" s="242">
        <f>(1741286395-81752)/1000</f>
        <v>1741204.6429999999</v>
      </c>
      <c r="M15" s="242"/>
      <c r="N15" s="242"/>
      <c r="O15" s="242"/>
      <c r="P15" s="242"/>
      <c r="Q15" s="242"/>
      <c r="R15" s="242"/>
      <c r="S15" s="242">
        <f t="shared" si="0"/>
        <v>1741204.6429999999</v>
      </c>
      <c r="T15" s="242">
        <f t="shared" ref="T15:T23" si="2">+S15</f>
        <v>1741204.6429999999</v>
      </c>
    </row>
    <row r="16" spans="2:22" ht="30" x14ac:dyDescent="0.25">
      <c r="B16" s="646">
        <v>9</v>
      </c>
      <c r="C16" s="456" t="s">
        <v>760</v>
      </c>
      <c r="D16" s="241">
        <v>0</v>
      </c>
      <c r="E16" s="242">
        <v>0</v>
      </c>
      <c r="F16" s="242">
        <v>0</v>
      </c>
      <c r="G16" s="242">
        <v>0</v>
      </c>
      <c r="H16" s="242">
        <v>0</v>
      </c>
      <c r="I16" s="242">
        <f>1328639012/1000</f>
        <v>1328639.0120000001</v>
      </c>
      <c r="J16" s="242">
        <f>257611909/1000</f>
        <v>257611.90900000001</v>
      </c>
      <c r="K16" s="242">
        <v>0</v>
      </c>
      <c r="L16" s="242">
        <v>0</v>
      </c>
      <c r="M16" s="242">
        <v>0</v>
      </c>
      <c r="N16" s="242">
        <v>0</v>
      </c>
      <c r="O16" s="242">
        <v>0</v>
      </c>
      <c r="P16" s="242">
        <v>0</v>
      </c>
      <c r="Q16" s="242">
        <v>0</v>
      </c>
      <c r="R16" s="242">
        <v>0</v>
      </c>
      <c r="S16" s="242">
        <f t="shared" si="0"/>
        <v>1586250.9210000001</v>
      </c>
      <c r="T16" s="242">
        <f t="shared" si="2"/>
        <v>1586250.9210000001</v>
      </c>
    </row>
    <row r="17" spans="2:20" x14ac:dyDescent="0.25">
      <c r="B17" s="646">
        <v>10</v>
      </c>
      <c r="C17" s="456" t="s">
        <v>484</v>
      </c>
      <c r="D17" s="241">
        <v>0</v>
      </c>
      <c r="E17" s="242">
        <v>0</v>
      </c>
      <c r="F17" s="242">
        <v>0</v>
      </c>
      <c r="G17" s="242">
        <v>0</v>
      </c>
      <c r="H17" s="242">
        <v>0</v>
      </c>
      <c r="I17" s="242">
        <v>0</v>
      </c>
      <c r="J17" s="242">
        <v>0</v>
      </c>
      <c r="K17" s="242">
        <v>0</v>
      </c>
      <c r="L17" s="242">
        <v>0</v>
      </c>
      <c r="M17" s="242">
        <f>74469388/1000</f>
        <v>74469.388000000006</v>
      </c>
      <c r="N17" s="242">
        <f>109314490/1000</f>
        <v>109314.49</v>
      </c>
      <c r="O17" s="242">
        <v>0</v>
      </c>
      <c r="P17" s="242">
        <v>0</v>
      </c>
      <c r="Q17" s="242">
        <v>0</v>
      </c>
      <c r="R17" s="242">
        <v>0</v>
      </c>
      <c r="S17" s="242">
        <f t="shared" si="0"/>
        <v>183783.87800000003</v>
      </c>
      <c r="T17" s="242">
        <f t="shared" si="2"/>
        <v>183783.87800000003</v>
      </c>
    </row>
    <row r="18" spans="2:20" ht="30" x14ac:dyDescent="0.25">
      <c r="B18" s="646">
        <v>11</v>
      </c>
      <c r="C18" s="456" t="s">
        <v>749</v>
      </c>
      <c r="D18" s="241">
        <v>0</v>
      </c>
      <c r="E18" s="242">
        <v>0</v>
      </c>
      <c r="F18" s="242">
        <v>0</v>
      </c>
      <c r="G18" s="242">
        <v>0</v>
      </c>
      <c r="H18" s="242">
        <v>0</v>
      </c>
      <c r="I18" s="242">
        <v>0</v>
      </c>
      <c r="J18" s="242">
        <v>0</v>
      </c>
      <c r="K18" s="242">
        <v>0</v>
      </c>
      <c r="L18" s="242">
        <v>0</v>
      </c>
      <c r="M18" s="242">
        <v>0</v>
      </c>
      <c r="N18" s="242">
        <f>1860045/1000</f>
        <v>1860.0450000000001</v>
      </c>
      <c r="O18" s="242">
        <v>0</v>
      </c>
      <c r="P18" s="242">
        <v>0</v>
      </c>
      <c r="Q18" s="242">
        <v>0</v>
      </c>
      <c r="R18" s="242">
        <v>0</v>
      </c>
      <c r="S18" s="242">
        <f t="shared" si="0"/>
        <v>1860.0450000000001</v>
      </c>
      <c r="T18" s="242">
        <f t="shared" si="2"/>
        <v>1860.0450000000001</v>
      </c>
    </row>
    <row r="19" spans="2:20" ht="30" x14ac:dyDescent="0.25">
      <c r="B19" s="646">
        <v>12</v>
      </c>
      <c r="C19" s="456" t="s">
        <v>470</v>
      </c>
      <c r="D19" s="241">
        <v>0</v>
      </c>
      <c r="E19" s="242">
        <v>0</v>
      </c>
      <c r="F19" s="242">
        <v>0</v>
      </c>
      <c r="G19" s="242">
        <v>0</v>
      </c>
      <c r="H19" s="242">
        <v>0</v>
      </c>
      <c r="I19" s="242">
        <v>0</v>
      </c>
      <c r="J19" s="242">
        <v>0</v>
      </c>
      <c r="K19" s="242">
        <v>0</v>
      </c>
      <c r="L19" s="242">
        <v>0</v>
      </c>
      <c r="M19" s="242">
        <v>0</v>
      </c>
      <c r="N19" s="242">
        <v>0</v>
      </c>
      <c r="O19" s="242">
        <v>0</v>
      </c>
      <c r="P19" s="242">
        <v>0</v>
      </c>
      <c r="Q19" s="242">
        <v>0</v>
      </c>
      <c r="R19" s="242">
        <v>0</v>
      </c>
      <c r="S19" s="242">
        <f t="shared" si="0"/>
        <v>0</v>
      </c>
      <c r="T19" s="242">
        <f t="shared" si="2"/>
        <v>0</v>
      </c>
    </row>
    <row r="20" spans="2:20" ht="30" x14ac:dyDescent="0.25">
      <c r="B20" s="646">
        <v>13</v>
      </c>
      <c r="C20" s="456" t="s">
        <v>761</v>
      </c>
      <c r="D20" s="241">
        <v>0</v>
      </c>
      <c r="E20" s="242">
        <v>0</v>
      </c>
      <c r="F20" s="242">
        <v>0</v>
      </c>
      <c r="G20" s="242">
        <v>0</v>
      </c>
      <c r="H20" s="242">
        <v>0</v>
      </c>
      <c r="I20" s="242">
        <v>0</v>
      </c>
      <c r="J20" s="242">
        <v>0</v>
      </c>
      <c r="K20" s="242">
        <v>0</v>
      </c>
      <c r="L20" s="242">
        <v>0</v>
      </c>
      <c r="M20" s="242">
        <v>0</v>
      </c>
      <c r="N20" s="242">
        <v>0</v>
      </c>
      <c r="O20" s="242">
        <v>0</v>
      </c>
      <c r="P20" s="242">
        <v>0</v>
      </c>
      <c r="Q20" s="242">
        <v>0</v>
      </c>
      <c r="R20" s="242">
        <v>0</v>
      </c>
      <c r="S20" s="242">
        <f t="shared" si="0"/>
        <v>0</v>
      </c>
      <c r="T20" s="242">
        <f t="shared" si="2"/>
        <v>0</v>
      </c>
    </row>
    <row r="21" spans="2:20" x14ac:dyDescent="0.25">
      <c r="B21" s="646">
        <v>14</v>
      </c>
      <c r="C21" s="456" t="s">
        <v>762</v>
      </c>
      <c r="D21" s="241">
        <v>0</v>
      </c>
      <c r="E21" s="242">
        <v>0</v>
      </c>
      <c r="F21" s="242">
        <v>0</v>
      </c>
      <c r="G21" s="242">
        <v>0</v>
      </c>
      <c r="H21" s="242">
        <v>0</v>
      </c>
      <c r="I21" s="242">
        <v>0</v>
      </c>
      <c r="J21" s="242">
        <v>0</v>
      </c>
      <c r="K21" s="242">
        <v>0</v>
      </c>
      <c r="L21" s="242">
        <v>0</v>
      </c>
      <c r="M21" s="242">
        <v>0</v>
      </c>
      <c r="N21" s="242">
        <v>0</v>
      </c>
      <c r="O21" s="242">
        <v>0</v>
      </c>
      <c r="P21" s="242">
        <v>0</v>
      </c>
      <c r="Q21" s="242">
        <v>0</v>
      </c>
      <c r="R21" s="242">
        <v>0</v>
      </c>
      <c r="S21" s="242">
        <f t="shared" si="0"/>
        <v>0</v>
      </c>
      <c r="T21" s="242">
        <f t="shared" si="2"/>
        <v>0</v>
      </c>
    </row>
    <row r="22" spans="2:20" x14ac:dyDescent="0.25">
      <c r="B22" s="646">
        <v>15</v>
      </c>
      <c r="C22" s="456" t="s">
        <v>763</v>
      </c>
      <c r="D22" s="241">
        <v>0</v>
      </c>
      <c r="E22" s="242">
        <v>0</v>
      </c>
      <c r="F22" s="242">
        <v>0</v>
      </c>
      <c r="G22" s="242">
        <v>0</v>
      </c>
      <c r="H22" s="242">
        <v>0</v>
      </c>
      <c r="I22" s="242">
        <v>0</v>
      </c>
      <c r="J22" s="242">
        <v>0</v>
      </c>
      <c r="K22" s="242">
        <v>0</v>
      </c>
      <c r="L22" s="242">
        <v>0</v>
      </c>
      <c r="M22" s="242">
        <f>165389671/1000</f>
        <v>165389.671</v>
      </c>
      <c r="N22" s="242">
        <v>0</v>
      </c>
      <c r="O22" s="242">
        <f>59462024/1000</f>
        <v>59462.023999999998</v>
      </c>
      <c r="P22" s="242">
        <v>0</v>
      </c>
      <c r="Q22" s="242">
        <v>0</v>
      </c>
      <c r="R22" s="242">
        <v>0</v>
      </c>
      <c r="S22" s="242">
        <f t="shared" si="0"/>
        <v>224851.69500000001</v>
      </c>
      <c r="T22" s="242">
        <f t="shared" si="2"/>
        <v>224851.69500000001</v>
      </c>
    </row>
    <row r="23" spans="2:20" x14ac:dyDescent="0.25">
      <c r="B23" s="646">
        <v>16</v>
      </c>
      <c r="C23" s="456" t="s">
        <v>752</v>
      </c>
      <c r="D23" s="241">
        <f>118768/1000</f>
        <v>118.768</v>
      </c>
      <c r="E23" s="242">
        <v>0</v>
      </c>
      <c r="F23" s="242">
        <v>0</v>
      </c>
      <c r="G23" s="242">
        <v>0</v>
      </c>
      <c r="H23" s="242">
        <v>0</v>
      </c>
      <c r="I23" s="242">
        <v>0</v>
      </c>
      <c r="J23" s="242">
        <v>0</v>
      </c>
      <c r="K23" s="242">
        <v>0</v>
      </c>
      <c r="L23" s="242">
        <v>0</v>
      </c>
      <c r="M23" s="242">
        <f>235031719/1000</f>
        <v>235031.71900000001</v>
      </c>
      <c r="N23" s="242">
        <v>0</v>
      </c>
      <c r="O23" s="242">
        <v>0</v>
      </c>
      <c r="P23" s="242">
        <v>0</v>
      </c>
      <c r="Q23" s="242">
        <v>0</v>
      </c>
      <c r="R23" s="242">
        <v>0</v>
      </c>
      <c r="S23" s="242">
        <f t="shared" si="0"/>
        <v>235150.48700000002</v>
      </c>
      <c r="T23" s="242">
        <f t="shared" si="2"/>
        <v>235150.48700000002</v>
      </c>
    </row>
    <row r="24" spans="2:20" x14ac:dyDescent="0.25">
      <c r="B24" s="453">
        <v>17</v>
      </c>
      <c r="C24" s="54" t="s">
        <v>753</v>
      </c>
      <c r="D24" s="241">
        <f>SUM(D8:D23)</f>
        <v>774320.79300000006</v>
      </c>
      <c r="E24" s="241">
        <f t="shared" ref="E24:R24" si="3">SUM(E8:E23)</f>
        <v>0</v>
      </c>
      <c r="F24" s="241">
        <f t="shared" si="3"/>
        <v>0</v>
      </c>
      <c r="G24" s="241">
        <f t="shared" si="3"/>
        <v>0</v>
      </c>
      <c r="H24" s="241">
        <f t="shared" si="3"/>
        <v>155352.23000000001</v>
      </c>
      <c r="I24" s="241">
        <f t="shared" si="3"/>
        <v>1328639.0120000001</v>
      </c>
      <c r="J24" s="241">
        <f t="shared" si="3"/>
        <v>276635.63</v>
      </c>
      <c r="K24" s="241">
        <f t="shared" si="3"/>
        <v>0</v>
      </c>
      <c r="L24" s="241">
        <f t="shared" si="3"/>
        <v>1741204.6429999999</v>
      </c>
      <c r="M24" s="241">
        <f t="shared" si="3"/>
        <v>1754410.32</v>
      </c>
      <c r="N24" s="241">
        <f t="shared" si="3"/>
        <v>111174.535</v>
      </c>
      <c r="O24" s="920">
        <f t="shared" si="3"/>
        <v>59462.023999999998</v>
      </c>
      <c r="P24" s="920">
        <f t="shared" si="3"/>
        <v>0</v>
      </c>
      <c r="Q24" s="920">
        <f t="shared" si="3"/>
        <v>0</v>
      </c>
      <c r="R24" s="920">
        <f t="shared" si="3"/>
        <v>0</v>
      </c>
      <c r="S24" s="921">
        <f>SUM(S8:S23)</f>
        <v>6201199.1870000008</v>
      </c>
      <c r="T24" s="242">
        <f>SUM(T8:T23)</f>
        <v>6162390.0810000002</v>
      </c>
    </row>
    <row r="25" spans="2:20" x14ac:dyDescent="0.25">
      <c r="N25" s="918"/>
      <c r="O25" s="922"/>
      <c r="P25" s="922"/>
      <c r="Q25" s="922"/>
      <c r="R25" s="922"/>
      <c r="S25" s="794"/>
    </row>
    <row r="26" spans="2:20" x14ac:dyDescent="0.25">
      <c r="E26" s="918"/>
      <c r="F26" s="918"/>
      <c r="G26" s="918"/>
    </row>
  </sheetData>
  <mergeCells count="4">
    <mergeCell ref="C5:C7"/>
    <mergeCell ref="D5:R5"/>
    <mergeCell ref="S5:S6"/>
    <mergeCell ref="T5:T6"/>
  </mergeCells>
  <hyperlinks>
    <hyperlink ref="B2" location="Indhold!B33" display="Skema CR5 — Standardmetode" xr:uid="{094F5897-5F73-47EC-B097-3ED5A81C9C78}"/>
  </hyperlinks>
  <pageMargins left="0.70866141732283472" right="0.70866141732283472" top="0.74803149606299213" bottom="0.74803149606299213" header="0.31496062992125984" footer="0.31496062992125984"/>
  <pageSetup paperSize="9" scale="73" orientation="landscape" r:id="rId1"/>
  <headerFooter>
    <oddHeader>&amp;CDA
Bilag 23</oddHead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08B85-C3BB-401F-9925-3076550953AB}">
  <sheetPr>
    <pageSetUpPr fitToPage="1"/>
  </sheetPr>
  <dimension ref="B2:E16"/>
  <sheetViews>
    <sheetView showGridLines="0" zoomScaleNormal="100" workbookViewId="0">
      <selection activeCell="F1" sqref="F1"/>
    </sheetView>
  </sheetViews>
  <sheetFormatPr defaultColWidth="9.140625" defaultRowHeight="15" x14ac:dyDescent="0.25"/>
  <cols>
    <col min="2" max="2" width="12.42578125" customWidth="1"/>
    <col min="3" max="3" width="79.42578125" customWidth="1"/>
    <col min="4" max="4" width="15.5703125" customWidth="1"/>
    <col min="5" max="5" width="18.7109375" customWidth="1"/>
  </cols>
  <sheetData>
    <row r="2" spans="2:5" x14ac:dyDescent="0.25">
      <c r="B2" s="866" t="s">
        <v>919</v>
      </c>
    </row>
    <row r="3" spans="2:5" x14ac:dyDescent="0.25">
      <c r="B3" s="319"/>
      <c r="D3" s="319"/>
      <c r="E3" s="319"/>
    </row>
    <row r="4" spans="2:5" x14ac:dyDescent="0.25">
      <c r="B4" s="319"/>
      <c r="D4" s="319"/>
      <c r="E4" s="319"/>
    </row>
    <row r="5" spans="2:5" ht="15.75" x14ac:dyDescent="0.25">
      <c r="B5" s="654"/>
      <c r="C5" s="655" t="s">
        <v>902</v>
      </c>
      <c r="D5" s="657" t="s">
        <v>103</v>
      </c>
      <c r="E5" s="657" t="s">
        <v>102</v>
      </c>
    </row>
    <row r="6" spans="2:5" x14ac:dyDescent="0.25">
      <c r="B6" s="658" t="s">
        <v>1423</v>
      </c>
      <c r="C6" s="1098"/>
      <c r="D6" s="1099" t="s">
        <v>1275</v>
      </c>
      <c r="E6" s="1099" t="s">
        <v>90</v>
      </c>
    </row>
    <row r="7" spans="2:5" ht="15" customHeight="1" x14ac:dyDescent="0.25">
      <c r="B7" s="654"/>
      <c r="C7" s="1098"/>
      <c r="D7" s="1100"/>
      <c r="E7" s="1100"/>
    </row>
    <row r="8" spans="2:5" x14ac:dyDescent="0.25">
      <c r="B8" s="545">
        <v>1</v>
      </c>
      <c r="C8" s="9" t="s">
        <v>920</v>
      </c>
      <c r="D8" s="659">
        <v>0</v>
      </c>
      <c r="E8" s="457">
        <v>0</v>
      </c>
    </row>
    <row r="9" spans="2:5" x14ac:dyDescent="0.25">
      <c r="B9" s="545">
        <v>2</v>
      </c>
      <c r="C9" s="9" t="s">
        <v>921</v>
      </c>
      <c r="D9" s="648"/>
      <c r="E9" s="55">
        <v>0</v>
      </c>
    </row>
    <row r="10" spans="2:5" ht="30" x14ac:dyDescent="0.25">
      <c r="B10" s="545">
        <v>3</v>
      </c>
      <c r="C10" s="9" t="s">
        <v>922</v>
      </c>
      <c r="D10" s="648"/>
      <c r="E10" s="55">
        <v>0</v>
      </c>
    </row>
    <row r="11" spans="2:5" x14ac:dyDescent="0.25">
      <c r="B11" s="545">
        <v>4</v>
      </c>
      <c r="C11" s="9" t="s">
        <v>923</v>
      </c>
      <c r="D11" s="55">
        <f>10649318/1000</f>
        <v>10649.317999999999</v>
      </c>
      <c r="E11" s="55">
        <f>2996340/1000</f>
        <v>2996.34</v>
      </c>
    </row>
    <row r="12" spans="2:5" ht="30" x14ac:dyDescent="0.25">
      <c r="B12" s="660" t="s">
        <v>469</v>
      </c>
      <c r="C12" s="661" t="s">
        <v>1462</v>
      </c>
      <c r="D12" s="55">
        <v>0</v>
      </c>
      <c r="E12" s="55">
        <v>0</v>
      </c>
    </row>
    <row r="13" spans="2:5" ht="30" x14ac:dyDescent="0.25">
      <c r="B13" s="545">
        <v>5</v>
      </c>
      <c r="C13" s="5" t="s">
        <v>924</v>
      </c>
      <c r="D13" s="651">
        <f>10649318/1000</f>
        <v>10649.317999999999</v>
      </c>
      <c r="E13" s="55">
        <f>2996340/1000</f>
        <v>2996.34</v>
      </c>
    </row>
    <row r="14" spans="2:5" x14ac:dyDescent="0.25">
      <c r="C14" s="1"/>
    </row>
    <row r="15" spans="2:5" x14ac:dyDescent="0.25">
      <c r="B15" s="315"/>
    </row>
    <row r="16" spans="2:5" x14ac:dyDescent="0.25">
      <c r="B16" s="315"/>
    </row>
  </sheetData>
  <mergeCells count="3">
    <mergeCell ref="C6:C7"/>
    <mergeCell ref="D6:D7"/>
    <mergeCell ref="E6:E7"/>
  </mergeCells>
  <hyperlinks>
    <hyperlink ref="B2" location="Indhold!B35" display="Skema EU CCR2 – Transaktioner underlagt kapitalgrundlagskrav for kreditværdijusteringsrisiko" xr:uid="{18C30A11-2E3A-4A8E-8CAF-4689046E057B}"/>
  </hyperlinks>
  <pageMargins left="0.70866141732283472" right="0.70866141732283472" top="0.74803149606299213" bottom="0.74803149606299213" header="0.31496062992125984" footer="0.31496062992125984"/>
  <pageSetup paperSize="9" scale="99" orientation="landscape" r:id="rId1"/>
  <headerFooter>
    <oddHeader>&amp;CDA
Bilag XXV</oddHeader>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0C740-C826-4A7A-B9A5-C864C809D4E7}">
  <sheetPr>
    <pageSetUpPr fitToPage="1"/>
  </sheetPr>
  <dimension ref="B2:Q20"/>
  <sheetViews>
    <sheetView showGridLines="0" zoomScaleNormal="100" workbookViewId="0">
      <selection activeCell="F1" sqref="F1"/>
    </sheetView>
  </sheetViews>
  <sheetFormatPr defaultColWidth="9.140625" defaultRowHeight="15" x14ac:dyDescent="0.25"/>
  <cols>
    <col min="2" max="2" width="10.85546875" style="85" customWidth="1"/>
    <col min="3" max="3" width="56.7109375" customWidth="1"/>
    <col min="15" max="15" width="20.140625" style="1" customWidth="1"/>
  </cols>
  <sheetData>
    <row r="2" spans="2:17" x14ac:dyDescent="0.25">
      <c r="B2" s="866" t="s">
        <v>925</v>
      </c>
    </row>
    <row r="3" spans="2:17" ht="15.75" x14ac:dyDescent="0.25">
      <c r="B3" s="310" t="s">
        <v>902</v>
      </c>
    </row>
    <row r="4" spans="2:17" x14ac:dyDescent="0.25">
      <c r="B4" s="321"/>
    </row>
    <row r="5" spans="2:17" ht="20.100000000000001" customHeight="1" x14ac:dyDescent="0.25">
      <c r="B5" s="680"/>
      <c r="C5" s="1101" t="s">
        <v>926</v>
      </c>
      <c r="D5" s="1104" t="s">
        <v>755</v>
      </c>
      <c r="E5" s="1105"/>
      <c r="F5" s="1105"/>
      <c r="G5" s="1105"/>
      <c r="H5" s="1105"/>
      <c r="I5" s="1105"/>
      <c r="J5" s="1105"/>
      <c r="K5" s="1105"/>
      <c r="L5" s="1105"/>
      <c r="M5" s="1105"/>
      <c r="N5" s="1106"/>
      <c r="O5" s="543"/>
    </row>
    <row r="6" spans="2:17" ht="20.100000000000001" customHeight="1" x14ac:dyDescent="0.25">
      <c r="B6" s="680"/>
      <c r="C6" s="1102"/>
      <c r="D6" s="464" t="s">
        <v>103</v>
      </c>
      <c r="E6" s="464" t="s">
        <v>102</v>
      </c>
      <c r="F6" s="464" t="s">
        <v>97</v>
      </c>
      <c r="G6" s="464" t="s">
        <v>96</v>
      </c>
      <c r="H6" s="464" t="s">
        <v>95</v>
      </c>
      <c r="I6" s="464" t="s">
        <v>111</v>
      </c>
      <c r="J6" s="464" t="s">
        <v>112</v>
      </c>
      <c r="K6" s="464" t="s">
        <v>164</v>
      </c>
      <c r="L6" s="464" t="s">
        <v>323</v>
      </c>
      <c r="M6" s="464" t="s">
        <v>324</v>
      </c>
      <c r="N6" s="464" t="s">
        <v>325</v>
      </c>
      <c r="O6" s="464" t="s">
        <v>326</v>
      </c>
    </row>
    <row r="7" spans="2:17" ht="31.5" customHeight="1" x14ac:dyDescent="0.25">
      <c r="B7" s="682" t="s">
        <v>1423</v>
      </c>
      <c r="C7" s="1103"/>
      <c r="D7" s="681">
        <v>0</v>
      </c>
      <c r="E7" s="681">
        <v>0.02</v>
      </c>
      <c r="F7" s="681">
        <v>0.04</v>
      </c>
      <c r="G7" s="681">
        <v>0.1</v>
      </c>
      <c r="H7" s="681">
        <v>0.2</v>
      </c>
      <c r="I7" s="681">
        <v>0.5</v>
      </c>
      <c r="J7" s="681">
        <v>0.7</v>
      </c>
      <c r="K7" s="681">
        <v>0.75</v>
      </c>
      <c r="L7" s="681">
        <v>1</v>
      </c>
      <c r="M7" s="681">
        <v>1.5</v>
      </c>
      <c r="N7" s="464" t="s">
        <v>757</v>
      </c>
      <c r="O7" s="464" t="s">
        <v>1463</v>
      </c>
    </row>
    <row r="8" spans="2:17" ht="24" customHeight="1" x14ac:dyDescent="0.25">
      <c r="B8" s="646">
        <v>1</v>
      </c>
      <c r="C8" s="647" t="s">
        <v>804</v>
      </c>
      <c r="D8" s="457">
        <v>0</v>
      </c>
      <c r="E8" s="457">
        <v>0</v>
      </c>
      <c r="F8" s="457">
        <v>0</v>
      </c>
      <c r="G8" s="457">
        <v>0</v>
      </c>
      <c r="H8" s="457">
        <v>0</v>
      </c>
      <c r="I8" s="457">
        <v>0</v>
      </c>
      <c r="J8" s="457">
        <v>0</v>
      </c>
      <c r="K8" s="457">
        <v>0</v>
      </c>
      <c r="L8" s="457">
        <v>0</v>
      </c>
      <c r="M8" s="457">
        <v>0</v>
      </c>
      <c r="N8" s="457">
        <v>0</v>
      </c>
      <c r="O8" s="679">
        <f>SUM(D8:N8)</f>
        <v>0</v>
      </c>
    </row>
    <row r="9" spans="2:17" ht="20.100000000000001" customHeight="1" x14ac:dyDescent="0.25">
      <c r="B9" s="646">
        <v>2</v>
      </c>
      <c r="C9" s="545" t="s">
        <v>927</v>
      </c>
      <c r="D9" s="55">
        <v>0</v>
      </c>
      <c r="E9" s="55">
        <v>0</v>
      </c>
      <c r="F9" s="55">
        <v>0</v>
      </c>
      <c r="G9" s="55">
        <v>0</v>
      </c>
      <c r="H9" s="55">
        <v>0</v>
      </c>
      <c r="I9" s="55">
        <v>0</v>
      </c>
      <c r="J9" s="55">
        <v>0</v>
      </c>
      <c r="K9" s="55">
        <v>0</v>
      </c>
      <c r="L9" s="55">
        <v>0</v>
      </c>
      <c r="M9" s="55">
        <v>0</v>
      </c>
      <c r="N9" s="55">
        <v>0</v>
      </c>
      <c r="O9" s="3">
        <f t="shared" ref="O9:O17" si="0">SUM(D9:N9)</f>
        <v>0</v>
      </c>
    </row>
    <row r="10" spans="2:17" ht="20.100000000000001" customHeight="1" x14ac:dyDescent="0.25">
      <c r="B10" s="646">
        <v>3</v>
      </c>
      <c r="C10" s="545" t="s">
        <v>745</v>
      </c>
      <c r="D10" s="55">
        <v>0</v>
      </c>
      <c r="E10" s="55">
        <v>0</v>
      </c>
      <c r="F10" s="55">
        <v>0</v>
      </c>
      <c r="G10" s="55">
        <v>0</v>
      </c>
      <c r="H10" s="55">
        <v>0</v>
      </c>
      <c r="I10" s="55">
        <v>0</v>
      </c>
      <c r="J10" s="55">
        <v>0</v>
      </c>
      <c r="K10" s="55">
        <v>0</v>
      </c>
      <c r="L10" s="55">
        <v>0</v>
      </c>
      <c r="M10" s="55">
        <v>0</v>
      </c>
      <c r="N10" s="55">
        <v>0</v>
      </c>
      <c r="O10" s="3">
        <f t="shared" si="0"/>
        <v>0</v>
      </c>
    </row>
    <row r="11" spans="2:17" ht="20.100000000000001" customHeight="1" x14ac:dyDescent="0.25">
      <c r="B11" s="646">
        <v>4</v>
      </c>
      <c r="C11" s="545" t="s">
        <v>746</v>
      </c>
      <c r="D11" s="55">
        <v>0</v>
      </c>
      <c r="E11" s="55">
        <v>0</v>
      </c>
      <c r="F11" s="55">
        <v>0</v>
      </c>
      <c r="G11" s="55">
        <v>0</v>
      </c>
      <c r="H11" s="55">
        <v>0</v>
      </c>
      <c r="I11" s="55">
        <v>0</v>
      </c>
      <c r="J11" s="55">
        <v>0</v>
      </c>
      <c r="K11" s="55">
        <v>0</v>
      </c>
      <c r="L11" s="55">
        <v>0</v>
      </c>
      <c r="M11" s="55">
        <v>0</v>
      </c>
      <c r="N11" s="55">
        <v>0</v>
      </c>
      <c r="O11" s="3">
        <f t="shared" si="0"/>
        <v>0</v>
      </c>
    </row>
    <row r="12" spans="2:17" ht="20.100000000000001" customHeight="1" x14ac:dyDescent="0.25">
      <c r="B12" s="646">
        <v>5</v>
      </c>
      <c r="C12" s="545" t="s">
        <v>747</v>
      </c>
      <c r="D12" s="55">
        <v>0</v>
      </c>
      <c r="E12" s="55">
        <v>0</v>
      </c>
      <c r="F12" s="55">
        <v>0</v>
      </c>
      <c r="G12" s="55">
        <v>0</v>
      </c>
      <c r="H12" s="55">
        <v>0</v>
      </c>
      <c r="I12" s="55">
        <v>0</v>
      </c>
      <c r="J12" s="55">
        <v>0</v>
      </c>
      <c r="K12" s="55">
        <v>0</v>
      </c>
      <c r="L12" s="55">
        <v>0</v>
      </c>
      <c r="M12" s="55">
        <v>0</v>
      </c>
      <c r="N12" s="55">
        <v>0</v>
      </c>
      <c r="O12" s="3">
        <f t="shared" si="0"/>
        <v>0</v>
      </c>
    </row>
    <row r="13" spans="2:17" ht="20.100000000000001" customHeight="1" x14ac:dyDescent="0.25">
      <c r="B13" s="646">
        <v>6</v>
      </c>
      <c r="C13" s="545" t="s">
        <v>476</v>
      </c>
      <c r="D13" s="55">
        <v>0</v>
      </c>
      <c r="E13" s="55">
        <v>0</v>
      </c>
      <c r="F13" s="55">
        <v>0</v>
      </c>
      <c r="G13" s="55">
        <v>0</v>
      </c>
      <c r="H13" s="55">
        <f>10495442/1000</f>
        <v>10495.441999999999</v>
      </c>
      <c r="I13" s="55">
        <f>150876/1000</f>
        <v>150.876</v>
      </c>
      <c r="J13" s="55">
        <v>0</v>
      </c>
      <c r="K13" s="55">
        <v>0</v>
      </c>
      <c r="L13" s="55">
        <v>0</v>
      </c>
      <c r="M13" s="55">
        <v>0</v>
      </c>
      <c r="N13" s="55">
        <v>0</v>
      </c>
      <c r="O13" s="3">
        <f t="shared" si="0"/>
        <v>10646.317999999999</v>
      </c>
      <c r="Q13" s="25"/>
    </row>
    <row r="14" spans="2:17" ht="20.100000000000001" customHeight="1" x14ac:dyDescent="0.25">
      <c r="B14" s="646">
        <v>7</v>
      </c>
      <c r="C14" s="545" t="s">
        <v>482</v>
      </c>
      <c r="D14" s="55">
        <v>0</v>
      </c>
      <c r="E14" s="55">
        <v>0</v>
      </c>
      <c r="F14" s="55">
        <v>0</v>
      </c>
      <c r="G14" s="55">
        <v>0</v>
      </c>
      <c r="H14" s="55">
        <v>0</v>
      </c>
      <c r="I14" s="55">
        <v>0</v>
      </c>
      <c r="J14" s="55">
        <v>0</v>
      </c>
      <c r="K14" s="55">
        <v>0</v>
      </c>
      <c r="L14" s="55">
        <v>8.42</v>
      </c>
      <c r="M14" s="55">
        <v>0</v>
      </c>
      <c r="N14" s="55">
        <v>0</v>
      </c>
      <c r="O14" s="3">
        <f t="shared" si="0"/>
        <v>8.42</v>
      </c>
    </row>
    <row r="15" spans="2:17" ht="20.100000000000001" customHeight="1" x14ac:dyDescent="0.25">
      <c r="B15" s="646">
        <v>8</v>
      </c>
      <c r="C15" s="545" t="s">
        <v>748</v>
      </c>
      <c r="D15" s="55">
        <v>0</v>
      </c>
      <c r="E15" s="55">
        <v>0</v>
      </c>
      <c r="F15" s="55">
        <v>0</v>
      </c>
      <c r="G15" s="55">
        <v>0</v>
      </c>
      <c r="H15" s="55">
        <v>0</v>
      </c>
      <c r="I15" s="55">
        <v>0</v>
      </c>
      <c r="J15" s="55">
        <v>0</v>
      </c>
      <c r="K15" s="55">
        <f>81752/1000</f>
        <v>81.751999999999995</v>
      </c>
      <c r="L15" s="55">
        <v>0</v>
      </c>
      <c r="M15" s="55">
        <v>0</v>
      </c>
      <c r="N15" s="55">
        <v>0</v>
      </c>
      <c r="O15" s="3">
        <f t="shared" si="0"/>
        <v>81.751999999999995</v>
      </c>
    </row>
    <row r="16" spans="2:17" ht="20.100000000000001" customHeight="1" x14ac:dyDescent="0.25">
      <c r="B16" s="646">
        <v>9</v>
      </c>
      <c r="C16" s="545" t="s">
        <v>750</v>
      </c>
      <c r="D16" s="55">
        <v>0</v>
      </c>
      <c r="E16" s="55">
        <v>0</v>
      </c>
      <c r="F16" s="55">
        <v>0</v>
      </c>
      <c r="G16" s="55">
        <v>0</v>
      </c>
      <c r="H16" s="55">
        <v>0</v>
      </c>
      <c r="I16" s="55">
        <v>0</v>
      </c>
      <c r="J16" s="55">
        <v>0</v>
      </c>
      <c r="K16" s="55">
        <v>0</v>
      </c>
      <c r="L16" s="55">
        <v>0</v>
      </c>
      <c r="M16" s="55">
        <v>0</v>
      </c>
      <c r="N16" s="55">
        <v>0</v>
      </c>
      <c r="O16" s="3">
        <f t="shared" si="0"/>
        <v>0</v>
      </c>
    </row>
    <row r="17" spans="2:15" ht="20.100000000000001" customHeight="1" x14ac:dyDescent="0.25">
      <c r="B17" s="646">
        <v>10</v>
      </c>
      <c r="C17" s="545" t="s">
        <v>752</v>
      </c>
      <c r="D17" s="55">
        <v>0</v>
      </c>
      <c r="E17" s="55">
        <v>0</v>
      </c>
      <c r="F17" s="55">
        <v>0</v>
      </c>
      <c r="G17" s="55">
        <v>0</v>
      </c>
      <c r="H17" s="55">
        <v>0</v>
      </c>
      <c r="I17" s="55">
        <v>0</v>
      </c>
      <c r="J17" s="55">
        <v>0</v>
      </c>
      <c r="K17" s="55">
        <v>0</v>
      </c>
      <c r="L17" s="55">
        <v>0</v>
      </c>
      <c r="M17" s="55">
        <v>0</v>
      </c>
      <c r="N17" s="55">
        <v>0</v>
      </c>
      <c r="O17" s="3">
        <f t="shared" si="0"/>
        <v>0</v>
      </c>
    </row>
    <row r="18" spans="2:15" ht="20.100000000000001" customHeight="1" x14ac:dyDescent="0.25">
      <c r="B18" s="646">
        <v>11</v>
      </c>
      <c r="C18" s="5" t="s">
        <v>331</v>
      </c>
      <c r="D18" s="55">
        <f>SUM(D8:D17)</f>
        <v>0</v>
      </c>
      <c r="E18" s="55">
        <f t="shared" ref="E18:O18" si="1">SUM(E8:E17)</f>
        <v>0</v>
      </c>
      <c r="F18" s="55">
        <f t="shared" si="1"/>
        <v>0</v>
      </c>
      <c r="G18" s="55">
        <f t="shared" si="1"/>
        <v>0</v>
      </c>
      <c r="H18" s="55">
        <f t="shared" si="1"/>
        <v>10495.441999999999</v>
      </c>
      <c r="I18" s="55">
        <f t="shared" si="1"/>
        <v>150.876</v>
      </c>
      <c r="J18" s="55">
        <f t="shared" si="1"/>
        <v>0</v>
      </c>
      <c r="K18" s="55">
        <f t="shared" si="1"/>
        <v>81.751999999999995</v>
      </c>
      <c r="L18" s="55">
        <f t="shared" si="1"/>
        <v>8.42</v>
      </c>
      <c r="M18" s="55">
        <f t="shared" si="1"/>
        <v>0</v>
      </c>
      <c r="N18" s="55">
        <f t="shared" si="1"/>
        <v>0</v>
      </c>
      <c r="O18" s="55">
        <f t="shared" si="1"/>
        <v>10736.49</v>
      </c>
    </row>
    <row r="20" spans="2:15" x14ac:dyDescent="0.25">
      <c r="C20" s="25"/>
    </row>
  </sheetData>
  <mergeCells count="2">
    <mergeCell ref="C5:C7"/>
    <mergeCell ref="D5:N5"/>
  </mergeCells>
  <hyperlinks>
    <hyperlink ref="B2" location="Indhold!B36" display="Skema EU CCR3 — standardmetoden — modpartskreditrisikoeksponeringer efter eksponeringsklasse og risikovægte" xr:uid="{C7FD10E0-A32B-4A3A-A211-D648C1E760E1}"/>
  </hyperlinks>
  <pageMargins left="0.70866141732283472" right="0.70866141732283472" top="0.74803149606299213" bottom="0.74803149606299213" header="0.31496062992125984" footer="0.31496062992125984"/>
  <pageSetup paperSize="9" scale="70" orientation="landscape" r:id="rId1"/>
  <headerFooter>
    <oddHeader>&amp;CDA
Bilag XXV</oddHeader>
    <oddFooter>&amp;C&amp;P</oddFooter>
  </headerFooter>
  <ignoredErrors>
    <ignoredError sqref="D18:O18" formulaRange="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95600-0C58-4190-AA13-B27575A00BF6}">
  <sheetPr>
    <pageSetUpPr fitToPage="1"/>
  </sheetPr>
  <dimension ref="B2:Q22"/>
  <sheetViews>
    <sheetView showGridLines="0" zoomScaleNormal="100" workbookViewId="0">
      <selection activeCell="F1" sqref="F1"/>
    </sheetView>
  </sheetViews>
  <sheetFormatPr defaultColWidth="11.42578125" defaultRowHeight="15" x14ac:dyDescent="0.25"/>
  <cols>
    <col min="1" max="1" width="11.42578125" style="663"/>
    <col min="2" max="2" width="6.7109375" style="663" customWidth="1"/>
    <col min="3" max="3" width="41.7109375" style="663" customWidth="1"/>
    <col min="4" max="4" width="22.7109375" style="663" customWidth="1"/>
    <col min="5" max="5" width="15.28515625" style="663" customWidth="1"/>
    <col min="6" max="6" width="11.42578125" style="663"/>
    <col min="7" max="7" width="50.85546875" style="663" customWidth="1"/>
    <col min="8" max="8" width="7.42578125" style="663" customWidth="1"/>
    <col min="9" max="9" width="42" style="663" customWidth="1"/>
    <col min="10" max="16384" width="11.42578125" style="663"/>
  </cols>
  <sheetData>
    <row r="2" spans="2:17" s="195" customFormat="1" ht="18.75" x14ac:dyDescent="0.3">
      <c r="B2" s="866" t="s">
        <v>1042</v>
      </c>
      <c r="C2" s="416"/>
      <c r="D2" s="416"/>
      <c r="E2" s="663"/>
      <c r="F2" s="416"/>
      <c r="G2" s="416"/>
      <c r="H2" s="416"/>
      <c r="I2" s="416"/>
      <c r="J2" s="416"/>
      <c r="K2" s="416"/>
      <c r="L2" s="416"/>
      <c r="M2" s="416"/>
      <c r="N2" s="416"/>
      <c r="O2" s="416"/>
      <c r="P2" s="416"/>
      <c r="Q2" s="416"/>
    </row>
    <row r="3" spans="2:17" s="195" customFormat="1" ht="15" customHeight="1" x14ac:dyDescent="0.3">
      <c r="B3" s="416"/>
      <c r="C3" s="416"/>
      <c r="D3" s="416"/>
      <c r="E3" s="416"/>
      <c r="F3" s="416"/>
      <c r="G3" s="416"/>
      <c r="H3" s="416"/>
      <c r="I3" s="416"/>
      <c r="J3" s="416"/>
      <c r="K3" s="416"/>
      <c r="L3" s="416"/>
      <c r="M3" s="416"/>
      <c r="N3" s="416"/>
      <c r="O3" s="416"/>
      <c r="P3" s="416"/>
      <c r="Q3" s="416"/>
    </row>
    <row r="4" spans="2:17" s="195" customFormat="1" ht="15" customHeight="1" x14ac:dyDescent="0.3">
      <c r="B4" s="416"/>
      <c r="C4" s="416"/>
      <c r="D4" s="416"/>
      <c r="E4" s="416"/>
      <c r="F4" s="416"/>
      <c r="G4" s="416"/>
      <c r="H4" s="416"/>
      <c r="I4" s="416"/>
      <c r="J4" s="416"/>
      <c r="K4" s="416"/>
      <c r="L4" s="416"/>
      <c r="M4" s="416"/>
      <c r="N4" s="416"/>
      <c r="O4" s="416"/>
      <c r="P4" s="416"/>
      <c r="Q4" s="416"/>
    </row>
    <row r="5" spans="2:17" x14ac:dyDescent="0.25">
      <c r="B5" s="718"/>
      <c r="C5" s="719"/>
      <c r="D5" s="465" t="s">
        <v>103</v>
      </c>
    </row>
    <row r="6" spans="2:17" ht="38.25" customHeight="1" x14ac:dyDescent="0.25">
      <c r="B6" s="1107" t="s">
        <v>1423</v>
      </c>
      <c r="C6" s="1053"/>
      <c r="D6" s="464" t="s">
        <v>1043</v>
      </c>
    </row>
    <row r="7" spans="2:17" x14ac:dyDescent="0.25">
      <c r="B7" s="696"/>
      <c r="C7" s="697" t="s">
        <v>1044</v>
      </c>
      <c r="D7" s="698"/>
      <c r="H7" s="694"/>
    </row>
    <row r="8" spans="2:17" ht="15.75" customHeight="1" x14ac:dyDescent="0.25">
      <c r="B8" s="686">
        <v>1</v>
      </c>
      <c r="C8" s="35" t="s">
        <v>1045</v>
      </c>
      <c r="D8" s="699">
        <f>(46915754*12.5)/1000</f>
        <v>586446.92500000005</v>
      </c>
      <c r="H8" s="694"/>
    </row>
    <row r="9" spans="2:17" x14ac:dyDescent="0.25">
      <c r="B9" s="686">
        <v>2</v>
      </c>
      <c r="C9" s="35" t="s">
        <v>1046</v>
      </c>
      <c r="D9" s="699">
        <f>((3669154*12.5)+47477685)/1000</f>
        <v>93342.11</v>
      </c>
      <c r="H9" s="694"/>
    </row>
    <row r="10" spans="2:17" x14ac:dyDescent="0.25">
      <c r="B10" s="686">
        <v>3</v>
      </c>
      <c r="C10" s="35" t="s">
        <v>1047</v>
      </c>
      <c r="D10" s="699">
        <f>(3916864*12.5)/1000</f>
        <v>48960.800000000003</v>
      </c>
      <c r="H10" s="694"/>
    </row>
    <row r="11" spans="2:17" x14ac:dyDescent="0.25">
      <c r="B11" s="686">
        <v>4</v>
      </c>
      <c r="C11" s="35" t="s">
        <v>1048</v>
      </c>
      <c r="D11" s="699">
        <v>0</v>
      </c>
    </row>
    <row r="12" spans="2:17" x14ac:dyDescent="0.25">
      <c r="B12" s="686"/>
      <c r="C12" s="95" t="s">
        <v>1049</v>
      </c>
      <c r="D12" s="700"/>
    </row>
    <row r="13" spans="2:17" x14ac:dyDescent="0.25">
      <c r="B13" s="686">
        <v>5</v>
      </c>
      <c r="C13" s="35" t="s">
        <v>1050</v>
      </c>
      <c r="D13" s="699">
        <v>0</v>
      </c>
    </row>
    <row r="14" spans="2:17" x14ac:dyDescent="0.25">
      <c r="B14" s="686">
        <v>6</v>
      </c>
      <c r="C14" s="35" t="s">
        <v>1051</v>
      </c>
      <c r="D14" s="699">
        <v>0</v>
      </c>
    </row>
    <row r="15" spans="2:17" x14ac:dyDescent="0.25">
      <c r="B15" s="686">
        <v>7</v>
      </c>
      <c r="C15" s="35" t="s">
        <v>1052</v>
      </c>
      <c r="D15" s="699">
        <v>0</v>
      </c>
    </row>
    <row r="16" spans="2:17" x14ac:dyDescent="0.25">
      <c r="B16" s="686">
        <v>8</v>
      </c>
      <c r="C16" s="28" t="s">
        <v>1464</v>
      </c>
      <c r="D16" s="699">
        <v>0</v>
      </c>
    </row>
    <row r="17" spans="2:4" x14ac:dyDescent="0.25">
      <c r="B17" s="686">
        <v>9</v>
      </c>
      <c r="C17" s="95" t="s">
        <v>0</v>
      </c>
      <c r="D17" s="699">
        <f>SUM(D8:D16)</f>
        <v>728749.83500000008</v>
      </c>
    </row>
    <row r="19" spans="2:4" x14ac:dyDescent="0.25">
      <c r="D19" s="695"/>
    </row>
    <row r="21" spans="2:4" ht="50.25" customHeight="1" x14ac:dyDescent="0.25"/>
    <row r="22" spans="2:4" ht="50.25" customHeight="1" x14ac:dyDescent="0.25"/>
  </sheetData>
  <mergeCells count="1">
    <mergeCell ref="B6:C6"/>
  </mergeCells>
  <hyperlinks>
    <hyperlink ref="B2" location="Indhold!B38" display="Skema EU MR1 - Markedsrisiko i henhold til standardmetoden" xr:uid="{15640792-C4B4-4068-A965-5B8EF86EF330}"/>
  </hyperlinks>
  <pageMargins left="0.70866141732283472" right="0.70866141732283472" top="0.74803149606299213" bottom="0.74803149606299213" header="0.31496062992125984" footer="0.31496062992125984"/>
  <pageSetup paperSize="9" orientation="landscape" r:id="rId1"/>
  <headerFooter>
    <oddHeader>&amp;CDA
Bilag XXIX</oddHeader>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D5B18-DE1B-4E0C-A021-D358211D6E46}">
  <dimension ref="B1:Q12"/>
  <sheetViews>
    <sheetView showGridLines="0" zoomScaleNormal="100" workbookViewId="0">
      <selection activeCell="F1" sqref="F1"/>
    </sheetView>
  </sheetViews>
  <sheetFormatPr defaultColWidth="9.140625" defaultRowHeight="15" x14ac:dyDescent="0.25"/>
  <cols>
    <col min="1" max="1" width="9.140625" style="38"/>
    <col min="2" max="2" width="11.28515625" style="38" customWidth="1"/>
    <col min="3" max="3" width="43.7109375" style="38" customWidth="1"/>
    <col min="4" max="6" width="22.28515625" style="38" customWidth="1"/>
    <col min="7" max="9" width="22.28515625" style="38" hidden="1" customWidth="1"/>
    <col min="10" max="11" width="22.28515625" style="38" customWidth="1"/>
    <col min="12" max="12" width="9.140625" style="38"/>
    <col min="13" max="13" width="13.140625" style="709" customWidth="1"/>
    <col min="14" max="14" width="52.42578125" style="38" customWidth="1"/>
    <col min="15" max="16384" width="9.140625" style="38"/>
  </cols>
  <sheetData>
    <row r="1" spans="2:17" x14ac:dyDescent="0.25">
      <c r="B1" s="366"/>
      <c r="C1" s="710"/>
      <c r="D1" s="710"/>
      <c r="E1" s="710"/>
      <c r="F1" s="710"/>
      <c r="G1" s="710"/>
      <c r="H1" s="710"/>
      <c r="I1" s="710"/>
      <c r="J1" s="710"/>
      <c r="K1" s="710"/>
      <c r="L1" s="710"/>
    </row>
    <row r="2" spans="2:17" s="711" customFormat="1" ht="18.75" x14ac:dyDescent="0.3">
      <c r="B2" s="866" t="s">
        <v>1103</v>
      </c>
      <c r="C2" s="416"/>
      <c r="D2" s="416"/>
      <c r="E2" s="710"/>
      <c r="F2" s="416"/>
      <c r="G2" s="416"/>
      <c r="H2" s="416"/>
      <c r="I2" s="416"/>
      <c r="J2" s="416"/>
      <c r="K2" s="416"/>
      <c r="L2" s="416"/>
      <c r="M2" s="416"/>
      <c r="N2" s="416"/>
      <c r="O2" s="416"/>
      <c r="P2" s="416"/>
      <c r="Q2" s="416"/>
    </row>
    <row r="3" spans="2:17" s="711" customFormat="1" x14ac:dyDescent="0.25"/>
    <row r="4" spans="2:17" s="711" customFormat="1" x14ac:dyDescent="0.25">
      <c r="B4" s="38"/>
    </row>
    <row r="5" spans="2:17" ht="13.5" customHeight="1" x14ac:dyDescent="0.25">
      <c r="B5" s="1116" t="s">
        <v>1423</v>
      </c>
      <c r="C5" s="1113" t="s">
        <v>1104</v>
      </c>
      <c r="D5" s="701" t="s">
        <v>103</v>
      </c>
      <c r="E5" s="701" t="s">
        <v>102</v>
      </c>
      <c r="F5" s="701" t="s">
        <v>97</v>
      </c>
      <c r="G5" s="701" t="s">
        <v>587</v>
      </c>
      <c r="H5" s="701" t="s">
        <v>589</v>
      </c>
      <c r="I5" s="701"/>
      <c r="J5" s="701" t="s">
        <v>96</v>
      </c>
      <c r="K5" s="702" t="s">
        <v>95</v>
      </c>
    </row>
    <row r="6" spans="2:17" ht="15" customHeight="1" x14ac:dyDescent="0.25">
      <c r="B6" s="1117"/>
      <c r="C6" s="1114"/>
      <c r="D6" s="1108" t="s">
        <v>1105</v>
      </c>
      <c r="E6" s="1109"/>
      <c r="F6" s="1110"/>
      <c r="G6" s="703" t="s">
        <v>1106</v>
      </c>
      <c r="H6" s="704" t="s">
        <v>1107</v>
      </c>
      <c r="I6" s="705"/>
      <c r="J6" s="1111" t="s">
        <v>332</v>
      </c>
      <c r="K6" s="1111" t="s">
        <v>100</v>
      </c>
    </row>
    <row r="7" spans="2:17" x14ac:dyDescent="0.25">
      <c r="B7" s="1118"/>
      <c r="C7" s="1115"/>
      <c r="D7" s="701" t="s">
        <v>1108</v>
      </c>
      <c r="E7" s="701" t="s">
        <v>1109</v>
      </c>
      <c r="F7" s="701" t="s">
        <v>1110</v>
      </c>
      <c r="G7" s="706" t="s">
        <v>1111</v>
      </c>
      <c r="H7" s="707"/>
      <c r="I7" s="708"/>
      <c r="J7" s="1112"/>
      <c r="K7" s="1112"/>
    </row>
    <row r="8" spans="2:17" ht="38.25" customHeight="1" x14ac:dyDescent="0.25">
      <c r="B8" s="455">
        <v>1</v>
      </c>
      <c r="C8" s="367" t="s">
        <v>1112</v>
      </c>
      <c r="D8" s="495">
        <f>264694086/1000</f>
        <v>264694.08600000001</v>
      </c>
      <c r="E8" s="495">
        <f>477369118/1000</f>
        <v>477369.11800000002</v>
      </c>
      <c r="F8" s="495">
        <f>498679382/1000</f>
        <v>498679.38199999998</v>
      </c>
      <c r="G8" s="368"/>
      <c r="H8" s="368"/>
      <c r="I8" s="368"/>
      <c r="J8" s="495">
        <f>62037129/1000</f>
        <v>62037.129000000001</v>
      </c>
      <c r="K8" s="495">
        <f>775464116/1000</f>
        <v>775464.11600000004</v>
      </c>
    </row>
    <row r="9" spans="2:17" ht="30" x14ac:dyDescent="0.25">
      <c r="B9" s="455">
        <v>2</v>
      </c>
      <c r="C9" s="369" t="s">
        <v>1113</v>
      </c>
      <c r="D9" s="368">
        <v>0</v>
      </c>
      <c r="E9" s="368">
        <v>0</v>
      </c>
      <c r="F9" s="368">
        <v>0</v>
      </c>
      <c r="G9" s="368"/>
      <c r="H9" s="368"/>
      <c r="I9" s="368"/>
      <c r="J9" s="368">
        <v>0</v>
      </c>
      <c r="K9" s="368">
        <v>0</v>
      </c>
    </row>
    <row r="10" spans="2:17" ht="38.25" customHeight="1" x14ac:dyDescent="0.25">
      <c r="B10" s="455">
        <v>3</v>
      </c>
      <c r="C10" s="712" t="s">
        <v>1114</v>
      </c>
      <c r="D10" s="368">
        <v>0</v>
      </c>
      <c r="E10" s="368">
        <v>0</v>
      </c>
      <c r="F10" s="368">
        <v>0</v>
      </c>
      <c r="G10" s="368"/>
      <c r="H10" s="368"/>
      <c r="I10" s="368"/>
      <c r="J10" s="370"/>
      <c r="K10" s="371"/>
    </row>
    <row r="11" spans="2:17" ht="38.25" customHeight="1" x14ac:dyDescent="0.25">
      <c r="B11" s="455">
        <v>4</v>
      </c>
      <c r="C11" s="712" t="s">
        <v>1115</v>
      </c>
      <c r="D11" s="368">
        <v>0</v>
      </c>
      <c r="E11" s="368">
        <v>0</v>
      </c>
      <c r="F11" s="368">
        <v>0</v>
      </c>
      <c r="G11" s="713"/>
      <c r="H11" s="499"/>
      <c r="I11" s="499"/>
      <c r="J11" s="370"/>
      <c r="K11" s="371"/>
    </row>
    <row r="12" spans="2:17" ht="38.25" customHeight="1" x14ac:dyDescent="0.25">
      <c r="B12" s="372">
        <v>5</v>
      </c>
      <c r="C12" s="367" t="s">
        <v>1116</v>
      </c>
      <c r="D12" s="368">
        <v>0</v>
      </c>
      <c r="E12" s="368">
        <v>0</v>
      </c>
      <c r="F12" s="368">
        <v>0</v>
      </c>
      <c r="G12" s="499"/>
      <c r="H12" s="499"/>
      <c r="I12" s="499"/>
      <c r="J12" s="368">
        <v>0</v>
      </c>
      <c r="K12" s="368">
        <v>0</v>
      </c>
    </row>
  </sheetData>
  <mergeCells count="5">
    <mergeCell ref="D6:F6"/>
    <mergeCell ref="J6:J7"/>
    <mergeCell ref="K6:K7"/>
    <mergeCell ref="C5:C7"/>
    <mergeCell ref="B5:B7"/>
  </mergeCells>
  <hyperlinks>
    <hyperlink ref="B2" location="Indhold!B40" display=" Skema EU OR1 - Kapitalgrundlagskrav for operationel risiko og risikovægtede eksponeringer" xr:uid="{52888D4C-8B95-4C55-996F-D3D0C8E008D3}"/>
  </hyperlinks>
  <pageMargins left="0.70866141732283472" right="0.70866141732283472" top="0.74803149606299213" bottom="0.74803149606299213" header="0.31496062992125984" footer="0.31496062992125984"/>
  <pageSetup paperSize="9" scale="75" orientation="landscape" verticalDpi="1200" r:id="rId1"/>
  <headerFooter>
    <oddHeader>&amp;CDA
Bilag XXXI</oddHeader>
    <oddFooter>&amp;C&amp;P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74CB7-5E45-4A07-BD08-C06EC2E9535F}">
  <sheetPr>
    <pageSetUpPr fitToPage="1"/>
  </sheetPr>
  <dimension ref="A2:R32"/>
  <sheetViews>
    <sheetView showGridLines="0" zoomScaleNormal="100" workbookViewId="0">
      <selection activeCell="F1" sqref="F1"/>
    </sheetView>
  </sheetViews>
  <sheetFormatPr defaultColWidth="9.140625" defaultRowHeight="15" x14ac:dyDescent="0.25"/>
  <cols>
    <col min="1" max="1" width="9.140625" style="1"/>
    <col min="2" max="2" width="11.5703125" style="1" customWidth="1"/>
    <col min="3" max="3" width="8.140625" style="1" customWidth="1"/>
    <col min="4" max="4" width="9.140625" style="1"/>
    <col min="5" max="5" width="72.42578125" style="1" customWidth="1"/>
    <col min="6" max="6" width="20.140625" style="1" customWidth="1"/>
    <col min="7" max="8" width="22" style="1" customWidth="1"/>
    <col min="9" max="9" width="44.42578125" style="1" customWidth="1"/>
    <col min="10" max="16384" width="9.140625" style="1"/>
  </cols>
  <sheetData>
    <row r="2" spans="1:18" ht="18.75" x14ac:dyDescent="0.3">
      <c r="B2" s="866" t="s">
        <v>1117</v>
      </c>
      <c r="D2" s="416"/>
      <c r="F2" s="416"/>
      <c r="G2" s="416"/>
      <c r="H2" s="416"/>
      <c r="I2" s="416"/>
      <c r="J2" s="416"/>
      <c r="K2" s="416"/>
      <c r="L2" s="416"/>
      <c r="M2" s="416"/>
      <c r="N2" s="416"/>
      <c r="O2" s="416"/>
      <c r="P2" s="416"/>
      <c r="Q2" s="416"/>
      <c r="R2" s="416"/>
    </row>
    <row r="5" spans="1:18" x14ac:dyDescent="0.25">
      <c r="B5" s="438"/>
      <c r="C5" s="438"/>
      <c r="D5" s="438"/>
      <c r="E5" s="438"/>
      <c r="F5" s="484" t="s">
        <v>103</v>
      </c>
      <c r="G5" s="484" t="s">
        <v>102</v>
      </c>
      <c r="H5" s="484" t="s">
        <v>97</v>
      </c>
      <c r="I5" s="484" t="s">
        <v>96</v>
      </c>
    </row>
    <row r="6" spans="1:18" ht="30" x14ac:dyDescent="0.25">
      <c r="B6" s="460" t="s">
        <v>1423</v>
      </c>
      <c r="C6" s="1119"/>
      <c r="D6" s="1119"/>
      <c r="E6" s="1120"/>
      <c r="F6" s="464" t="s">
        <v>1118</v>
      </c>
      <c r="G6" s="464" t="s">
        <v>1119</v>
      </c>
      <c r="H6" s="464" t="s">
        <v>1120</v>
      </c>
      <c r="I6" s="465" t="s">
        <v>1121</v>
      </c>
    </row>
    <row r="7" spans="1:18" ht="15" customHeight="1" x14ac:dyDescent="0.25">
      <c r="A7" s="373"/>
      <c r="B7" s="454">
        <v>1</v>
      </c>
      <c r="C7" s="1121" t="s">
        <v>1122</v>
      </c>
      <c r="D7" s="1122"/>
      <c r="E7" s="179" t="s">
        <v>1123</v>
      </c>
      <c r="F7" s="556">
        <v>9</v>
      </c>
      <c r="G7" s="556">
        <v>1</v>
      </c>
      <c r="H7" s="556"/>
      <c r="I7" s="556">
        <v>9.5</v>
      </c>
    </row>
    <row r="8" spans="1:18" x14ac:dyDescent="0.25">
      <c r="B8" s="454">
        <v>2</v>
      </c>
      <c r="C8" s="1123"/>
      <c r="D8" s="1124"/>
      <c r="E8" s="179" t="s">
        <v>1124</v>
      </c>
      <c r="F8" s="1129">
        <v>6236</v>
      </c>
      <c r="G8" s="1130"/>
      <c r="H8" s="557"/>
      <c r="I8" s="557">
        <v>9088</v>
      </c>
    </row>
    <row r="9" spans="1:18" x14ac:dyDescent="0.25">
      <c r="B9" s="454">
        <v>3</v>
      </c>
      <c r="C9" s="1123"/>
      <c r="D9" s="1124"/>
      <c r="E9" s="345" t="s">
        <v>1422</v>
      </c>
      <c r="F9" s="1129">
        <v>6236</v>
      </c>
      <c r="G9" s="1130"/>
      <c r="H9" s="557"/>
      <c r="I9" s="557">
        <v>9088</v>
      </c>
    </row>
    <row r="10" spans="1:18" x14ac:dyDescent="0.25">
      <c r="B10" s="454">
        <v>4</v>
      </c>
      <c r="C10" s="1123"/>
      <c r="D10" s="1124"/>
      <c r="E10" s="345" t="s">
        <v>1126</v>
      </c>
      <c r="F10" s="371"/>
      <c r="G10" s="371"/>
      <c r="H10" s="371"/>
      <c r="I10" s="371"/>
    </row>
    <row r="11" spans="1:18" x14ac:dyDescent="0.25">
      <c r="B11" s="454" t="s">
        <v>1127</v>
      </c>
      <c r="C11" s="1123"/>
      <c r="D11" s="1124"/>
      <c r="E11" s="345" t="s">
        <v>1128</v>
      </c>
      <c r="F11" s="557">
        <v>0</v>
      </c>
      <c r="G11" s="557">
        <v>0</v>
      </c>
      <c r="H11" s="557">
        <v>0</v>
      </c>
      <c r="I11" s="557">
        <v>0</v>
      </c>
    </row>
    <row r="12" spans="1:18" ht="30" x14ac:dyDescent="0.25">
      <c r="B12" s="454">
        <v>5</v>
      </c>
      <c r="C12" s="1123"/>
      <c r="D12" s="1124"/>
      <c r="E12" s="345" t="s">
        <v>1129</v>
      </c>
      <c r="F12" s="557">
        <v>0</v>
      </c>
      <c r="G12" s="557">
        <v>0</v>
      </c>
      <c r="H12" s="557">
        <v>0</v>
      </c>
      <c r="I12" s="557">
        <v>0</v>
      </c>
    </row>
    <row r="13" spans="1:18" x14ac:dyDescent="0.25">
      <c r="B13" s="454" t="s">
        <v>1130</v>
      </c>
      <c r="C13" s="1123"/>
      <c r="D13" s="1124"/>
      <c r="E13" s="345" t="s">
        <v>1131</v>
      </c>
      <c r="F13" s="557">
        <v>0</v>
      </c>
      <c r="G13" s="557">
        <v>0</v>
      </c>
      <c r="H13" s="557">
        <v>0</v>
      </c>
      <c r="I13" s="557">
        <v>0</v>
      </c>
    </row>
    <row r="14" spans="1:18" x14ac:dyDescent="0.25">
      <c r="B14" s="454">
        <v>6</v>
      </c>
      <c r="C14" s="1123"/>
      <c r="D14" s="1124"/>
      <c r="E14" s="345" t="s">
        <v>1126</v>
      </c>
      <c r="F14" s="371"/>
      <c r="G14" s="371"/>
      <c r="H14" s="371"/>
      <c r="I14" s="371"/>
    </row>
    <row r="15" spans="1:18" x14ac:dyDescent="0.25">
      <c r="B15" s="454">
        <v>7</v>
      </c>
      <c r="C15" s="1123"/>
      <c r="D15" s="1124"/>
      <c r="E15" s="345" t="s">
        <v>1132</v>
      </c>
      <c r="F15" s="557"/>
      <c r="G15" s="557"/>
      <c r="H15" s="557"/>
      <c r="I15" s="557"/>
    </row>
    <row r="16" spans="1:18" x14ac:dyDescent="0.25">
      <c r="B16" s="454">
        <v>8</v>
      </c>
      <c r="C16" s="1125"/>
      <c r="D16" s="1126"/>
      <c r="E16" s="345" t="s">
        <v>1126</v>
      </c>
      <c r="F16" s="371"/>
      <c r="G16" s="371"/>
      <c r="H16" s="371"/>
      <c r="I16" s="371"/>
    </row>
    <row r="17" spans="2:9" x14ac:dyDescent="0.25">
      <c r="B17" s="454">
        <v>9</v>
      </c>
      <c r="C17" s="1127" t="s">
        <v>1133</v>
      </c>
      <c r="D17" s="1127"/>
      <c r="E17" s="179" t="s">
        <v>1123</v>
      </c>
      <c r="F17" s="557">
        <v>0</v>
      </c>
      <c r="G17" s="557">
        <v>0</v>
      </c>
      <c r="H17" s="557">
        <v>0</v>
      </c>
      <c r="I17" s="557">
        <v>0</v>
      </c>
    </row>
    <row r="18" spans="2:9" x14ac:dyDescent="0.25">
      <c r="B18" s="454">
        <v>10</v>
      </c>
      <c r="C18" s="1127"/>
      <c r="D18" s="1127"/>
      <c r="E18" s="179" t="s">
        <v>1134</v>
      </c>
      <c r="F18" s="557">
        <v>0</v>
      </c>
      <c r="G18" s="557">
        <v>0</v>
      </c>
      <c r="H18" s="557">
        <v>0</v>
      </c>
      <c r="I18" s="557">
        <v>0</v>
      </c>
    </row>
    <row r="19" spans="2:9" x14ac:dyDescent="0.25">
      <c r="B19" s="454">
        <v>11</v>
      </c>
      <c r="C19" s="1127"/>
      <c r="D19" s="1127"/>
      <c r="E19" s="345" t="s">
        <v>1125</v>
      </c>
      <c r="F19" s="557">
        <v>0</v>
      </c>
      <c r="G19" s="557">
        <v>0</v>
      </c>
      <c r="H19" s="557">
        <v>0</v>
      </c>
      <c r="I19" s="557">
        <v>0</v>
      </c>
    </row>
    <row r="20" spans="2:9" x14ac:dyDescent="0.25">
      <c r="B20" s="454">
        <v>12</v>
      </c>
      <c r="C20" s="1127"/>
      <c r="D20" s="1127"/>
      <c r="E20" s="345" t="s">
        <v>1135</v>
      </c>
      <c r="F20" s="557">
        <v>0</v>
      </c>
      <c r="G20" s="557">
        <v>0</v>
      </c>
      <c r="H20" s="557">
        <v>0</v>
      </c>
      <c r="I20" s="557">
        <v>0</v>
      </c>
    </row>
    <row r="21" spans="2:9" x14ac:dyDescent="0.25">
      <c r="B21" s="454" t="s">
        <v>1136</v>
      </c>
      <c r="C21" s="1127"/>
      <c r="D21" s="1127"/>
      <c r="E21" s="345" t="s">
        <v>1128</v>
      </c>
      <c r="F21" s="557">
        <v>0</v>
      </c>
      <c r="G21" s="557">
        <v>0</v>
      </c>
      <c r="H21" s="557">
        <v>0</v>
      </c>
      <c r="I21" s="557">
        <v>0</v>
      </c>
    </row>
    <row r="22" spans="2:9" x14ac:dyDescent="0.25">
      <c r="B22" s="454" t="s">
        <v>1137</v>
      </c>
      <c r="C22" s="1127"/>
      <c r="D22" s="1127"/>
      <c r="E22" s="345" t="s">
        <v>1135</v>
      </c>
      <c r="F22" s="557">
        <v>0</v>
      </c>
      <c r="G22" s="557">
        <v>0</v>
      </c>
      <c r="H22" s="557">
        <v>0</v>
      </c>
      <c r="I22" s="557">
        <v>0</v>
      </c>
    </row>
    <row r="23" spans="2:9" ht="30" x14ac:dyDescent="0.25">
      <c r="B23" s="454" t="s">
        <v>1138</v>
      </c>
      <c r="C23" s="1127"/>
      <c r="D23" s="1127"/>
      <c r="E23" s="345" t="s">
        <v>1129</v>
      </c>
      <c r="F23" s="557">
        <v>0</v>
      </c>
      <c r="G23" s="557">
        <v>0</v>
      </c>
      <c r="H23" s="557">
        <v>0</v>
      </c>
      <c r="I23" s="557">
        <v>0</v>
      </c>
    </row>
    <row r="24" spans="2:9" x14ac:dyDescent="0.25">
      <c r="B24" s="454" t="s">
        <v>1139</v>
      </c>
      <c r="C24" s="1127"/>
      <c r="D24" s="1127"/>
      <c r="E24" s="345" t="s">
        <v>1135</v>
      </c>
      <c r="F24" s="557">
        <v>0</v>
      </c>
      <c r="G24" s="557">
        <v>0</v>
      </c>
      <c r="H24" s="557">
        <v>0</v>
      </c>
      <c r="I24" s="557">
        <v>0</v>
      </c>
    </row>
    <row r="25" spans="2:9" x14ac:dyDescent="0.25">
      <c r="B25" s="454" t="s">
        <v>1140</v>
      </c>
      <c r="C25" s="1127"/>
      <c r="D25" s="1127"/>
      <c r="E25" s="345" t="s">
        <v>1131</v>
      </c>
      <c r="F25" s="557">
        <v>0</v>
      </c>
      <c r="G25" s="557">
        <v>0</v>
      </c>
      <c r="H25" s="557">
        <v>0</v>
      </c>
      <c r="I25" s="557">
        <v>0</v>
      </c>
    </row>
    <row r="26" spans="2:9" x14ac:dyDescent="0.25">
      <c r="B26" s="454" t="s">
        <v>1141</v>
      </c>
      <c r="C26" s="1127"/>
      <c r="D26" s="1127"/>
      <c r="E26" s="345" t="s">
        <v>1135</v>
      </c>
      <c r="F26" s="557">
        <v>0</v>
      </c>
      <c r="G26" s="557">
        <v>0</v>
      </c>
      <c r="H26" s="557">
        <v>0</v>
      </c>
      <c r="I26" s="557">
        <v>0</v>
      </c>
    </row>
    <row r="27" spans="2:9" x14ac:dyDescent="0.25">
      <c r="B27" s="454">
        <v>15</v>
      </c>
      <c r="C27" s="1127"/>
      <c r="D27" s="1127"/>
      <c r="E27" s="345" t="s">
        <v>1132</v>
      </c>
      <c r="F27" s="557">
        <v>0</v>
      </c>
      <c r="G27" s="557">
        <v>0</v>
      </c>
      <c r="H27" s="557">
        <v>0</v>
      </c>
      <c r="I27" s="557">
        <v>0</v>
      </c>
    </row>
    <row r="28" spans="2:9" x14ac:dyDescent="0.25">
      <c r="B28" s="454">
        <v>16</v>
      </c>
      <c r="C28" s="1127"/>
      <c r="D28" s="1127"/>
      <c r="E28" s="345" t="s">
        <v>1135</v>
      </c>
      <c r="F28" s="557">
        <v>0</v>
      </c>
      <c r="G28" s="557">
        <v>0</v>
      </c>
      <c r="H28" s="557">
        <v>0</v>
      </c>
      <c r="I28" s="557">
        <v>0</v>
      </c>
    </row>
    <row r="29" spans="2:9" x14ac:dyDescent="0.25">
      <c r="B29" s="454">
        <v>17</v>
      </c>
      <c r="C29" s="1128" t="s">
        <v>1142</v>
      </c>
      <c r="D29" s="1128"/>
      <c r="E29" s="1128"/>
      <c r="F29" s="1129">
        <f>+F9</f>
        <v>6236</v>
      </c>
      <c r="G29" s="1130"/>
      <c r="H29" s="557">
        <f t="shared" ref="H29:I29" si="0">+H8+H18</f>
        <v>0</v>
      </c>
      <c r="I29" s="557">
        <f t="shared" si="0"/>
        <v>9088</v>
      </c>
    </row>
    <row r="31" spans="2:9" x14ac:dyDescent="0.25">
      <c r="B31" s="1" t="s">
        <v>1492</v>
      </c>
    </row>
    <row r="32" spans="2:9" x14ac:dyDescent="0.25">
      <c r="B32" s="1" t="s">
        <v>1490</v>
      </c>
    </row>
  </sheetData>
  <mergeCells count="7">
    <mergeCell ref="C6:E6"/>
    <mergeCell ref="C7:D16"/>
    <mergeCell ref="C17:D28"/>
    <mergeCell ref="C29:E29"/>
    <mergeCell ref="F9:G9"/>
    <mergeCell ref="F29:G29"/>
    <mergeCell ref="F8:G8"/>
  </mergeCells>
  <hyperlinks>
    <hyperlink ref="B2" location="Indhold!B42" display="Skema EU REM1 – Aflønning tildelt i løbet af regnskabsåret " xr:uid="{788F18C1-9674-44C5-9A64-32364DC01C4A}"/>
  </hyperlinks>
  <pageMargins left="0.70866141732283472" right="0.70866141732283472" top="0.74803149606299213" bottom="0.74803149606299213" header="0.31496062992125984" footer="0.31496062992125984"/>
  <pageSetup paperSize="9" scale="60" fitToHeight="0" orientation="landscape" cellComments="asDisplayed" r:id="rId1"/>
  <headerFooter>
    <oddHeader>&amp;CDA
Bilag XXXIII</oddHeader>
    <oddFooter>&amp;C&amp;P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B5BA2-C160-44DF-A4FC-05F5529B49E1}">
  <dimension ref="B2:R15"/>
  <sheetViews>
    <sheetView showGridLines="0" zoomScaleNormal="100" workbookViewId="0">
      <selection activeCell="F1" sqref="F1"/>
    </sheetView>
  </sheetViews>
  <sheetFormatPr defaultColWidth="9.140625" defaultRowHeight="15" x14ac:dyDescent="0.25"/>
  <cols>
    <col min="1" max="1" width="9.140625" style="1"/>
    <col min="2" max="2" width="7.42578125" style="1" customWidth="1"/>
    <col min="3" max="3" width="55.5703125" style="1" customWidth="1"/>
    <col min="4" max="4" width="23" style="1" bestFit="1" customWidth="1"/>
    <col min="5" max="5" width="23.42578125" style="1" customWidth="1"/>
    <col min="6" max="6" width="15.42578125" style="1" customWidth="1"/>
    <col min="7" max="7" width="14.7109375" style="1" bestFit="1" customWidth="1"/>
    <col min="8" max="8" width="19.28515625" style="1" bestFit="1" customWidth="1"/>
    <col min="9" max="9" width="19.85546875" style="1" bestFit="1" customWidth="1"/>
    <col min="10" max="10" width="17.140625" style="1" bestFit="1" customWidth="1"/>
    <col min="11" max="11" width="13.28515625" style="1" customWidth="1"/>
    <col min="12" max="12" width="9.140625" style="1"/>
    <col min="13" max="13" width="14.140625" style="1" customWidth="1"/>
    <col min="14" max="16384" width="9.140625" style="1"/>
  </cols>
  <sheetData>
    <row r="2" spans="2:18" ht="18.75" x14ac:dyDescent="0.3">
      <c r="B2" s="866" t="s">
        <v>1192</v>
      </c>
      <c r="D2" s="416"/>
      <c r="F2" s="416"/>
      <c r="G2" s="416"/>
      <c r="H2" s="416"/>
      <c r="I2" s="416"/>
      <c r="J2" s="416"/>
      <c r="K2" s="416"/>
      <c r="L2" s="416"/>
      <c r="M2" s="416"/>
      <c r="N2" s="416"/>
      <c r="O2" s="416"/>
      <c r="P2" s="416"/>
      <c r="Q2" s="416"/>
      <c r="R2" s="416"/>
    </row>
    <row r="3" spans="2:18" x14ac:dyDescent="0.25">
      <c r="C3" s="384"/>
      <c r="D3" s="384"/>
      <c r="E3" s="384"/>
      <c r="F3" s="384"/>
      <c r="G3" s="385"/>
      <c r="H3" s="385"/>
      <c r="I3" s="385"/>
      <c r="J3" s="385"/>
      <c r="K3" s="385"/>
      <c r="L3" s="385"/>
      <c r="M3" s="385"/>
    </row>
    <row r="4" spans="2:18" ht="15.75" thickBot="1" x14ac:dyDescent="0.3">
      <c r="C4" s="384"/>
      <c r="D4" s="384"/>
      <c r="E4" s="384"/>
      <c r="F4" s="384"/>
      <c r="G4" s="385"/>
      <c r="H4" s="385"/>
      <c r="I4" s="385"/>
      <c r="J4" s="385"/>
      <c r="K4" s="385"/>
      <c r="L4" s="385"/>
      <c r="M4" s="385"/>
    </row>
    <row r="5" spans="2:18" ht="15" customHeight="1" thickBot="1" x14ac:dyDescent="0.3">
      <c r="B5" s="438"/>
      <c r="C5" s="439"/>
      <c r="D5" s="1131" t="s">
        <v>1193</v>
      </c>
      <c r="E5" s="1131"/>
      <c r="F5" s="1131"/>
      <c r="G5" s="1131" t="s">
        <v>1194</v>
      </c>
      <c r="H5" s="1131"/>
      <c r="I5" s="1131"/>
      <c r="J5" s="1131"/>
      <c r="K5" s="1131"/>
      <c r="L5" s="1131"/>
      <c r="M5" s="720"/>
    </row>
    <row r="6" spans="2:18" ht="45" x14ac:dyDescent="0.25">
      <c r="B6" s="441" t="s">
        <v>1423</v>
      </c>
      <c r="C6" s="438"/>
      <c r="D6" s="721" t="s">
        <v>1118</v>
      </c>
      <c r="E6" s="721" t="s">
        <v>1175</v>
      </c>
      <c r="F6" s="721" t="s">
        <v>1195</v>
      </c>
      <c r="G6" s="721" t="s">
        <v>1280</v>
      </c>
      <c r="H6" s="721" t="s">
        <v>1196</v>
      </c>
      <c r="I6" s="721" t="s">
        <v>1197</v>
      </c>
      <c r="J6" s="721" t="s">
        <v>1198</v>
      </c>
      <c r="K6" s="721" t="s">
        <v>1281</v>
      </c>
      <c r="L6" s="721" t="s">
        <v>1199</v>
      </c>
      <c r="M6" s="721" t="s">
        <v>815</v>
      </c>
    </row>
    <row r="7" spans="2:18" x14ac:dyDescent="0.25">
      <c r="B7" s="722">
        <v>1</v>
      </c>
      <c r="C7" s="736" t="s">
        <v>1200</v>
      </c>
      <c r="D7" s="723"/>
      <c r="E7" s="723"/>
      <c r="F7" s="723"/>
      <c r="G7" s="723"/>
      <c r="H7" s="723"/>
      <c r="I7" s="723"/>
      <c r="J7" s="723"/>
      <c r="K7" s="723"/>
      <c r="L7" s="723"/>
      <c r="M7" s="724">
        <v>20</v>
      </c>
    </row>
    <row r="8" spans="2:18" x14ac:dyDescent="0.25">
      <c r="B8" s="722">
        <v>2</v>
      </c>
      <c r="C8" s="737" t="s">
        <v>1201</v>
      </c>
      <c r="D8" s="725">
        <v>9</v>
      </c>
      <c r="E8" s="725">
        <v>1</v>
      </c>
      <c r="F8" s="725">
        <v>10</v>
      </c>
      <c r="G8" s="726"/>
      <c r="H8" s="726"/>
      <c r="I8" s="726"/>
      <c r="J8" s="726"/>
      <c r="K8" s="726"/>
      <c r="L8" s="727"/>
      <c r="M8" s="728"/>
    </row>
    <row r="9" spans="2:18" x14ac:dyDescent="0.25">
      <c r="B9" s="722">
        <v>3</v>
      </c>
      <c r="C9" s="738" t="s">
        <v>1202</v>
      </c>
      <c r="D9" s="726"/>
      <c r="E9" s="726"/>
      <c r="F9" s="726"/>
      <c r="G9" s="729"/>
      <c r="H9" s="729"/>
      <c r="I9" s="729"/>
      <c r="J9" s="729"/>
      <c r="K9" s="729"/>
      <c r="L9" s="730"/>
      <c r="M9" s="728"/>
    </row>
    <row r="10" spans="2:18" x14ac:dyDescent="0.25">
      <c r="B10" s="722">
        <v>4</v>
      </c>
      <c r="C10" s="738" t="s">
        <v>1203</v>
      </c>
      <c r="D10" s="726"/>
      <c r="E10" s="726"/>
      <c r="F10" s="726"/>
      <c r="G10" s="729">
        <v>1</v>
      </c>
      <c r="H10" s="729"/>
      <c r="I10" s="729"/>
      <c r="J10" s="729">
        <v>6</v>
      </c>
      <c r="K10" s="729">
        <v>3</v>
      </c>
      <c r="L10" s="730"/>
      <c r="M10" s="728"/>
    </row>
    <row r="11" spans="2:18" x14ac:dyDescent="0.25">
      <c r="B11" s="722">
        <v>5</v>
      </c>
      <c r="C11" s="736" t="s">
        <v>1204</v>
      </c>
      <c r="D11" s="731"/>
      <c r="E11" s="725"/>
      <c r="F11" s="725"/>
      <c r="G11" s="1132">
        <v>9088</v>
      </c>
      <c r="H11" s="1133"/>
      <c r="I11" s="1133"/>
      <c r="J11" s="1133"/>
      <c r="K11" s="1133"/>
      <c r="L11" s="1134"/>
      <c r="M11" s="728"/>
    </row>
    <row r="12" spans="2:18" x14ac:dyDescent="0.25">
      <c r="B12" s="722">
        <v>6</v>
      </c>
      <c r="C12" s="737" t="s">
        <v>1205</v>
      </c>
      <c r="D12" s="732"/>
      <c r="E12" s="733"/>
      <c r="F12" s="733"/>
      <c r="G12" s="734"/>
      <c r="H12" s="734"/>
      <c r="I12" s="734"/>
      <c r="J12" s="734"/>
      <c r="K12" s="734"/>
      <c r="L12" s="735"/>
      <c r="M12" s="728"/>
    </row>
    <row r="13" spans="2:18" x14ac:dyDescent="0.25">
      <c r="B13" s="722">
        <v>7</v>
      </c>
      <c r="C13" s="738" t="s">
        <v>1206</v>
      </c>
      <c r="D13" s="732"/>
      <c r="E13" s="733"/>
      <c r="F13" s="733">
        <v>6236</v>
      </c>
      <c r="G13" s="1135">
        <v>9088</v>
      </c>
      <c r="H13" s="1136"/>
      <c r="I13" s="1136"/>
      <c r="J13" s="1136"/>
      <c r="K13" s="1136"/>
      <c r="L13" s="1137"/>
      <c r="M13" s="728"/>
    </row>
    <row r="15" spans="2:18" ht="26.25" customHeight="1" x14ac:dyDescent="0.25">
      <c r="B15" s="1" t="s">
        <v>1491</v>
      </c>
    </row>
  </sheetData>
  <mergeCells count="4">
    <mergeCell ref="D5:F5"/>
    <mergeCell ref="G5:L5"/>
    <mergeCell ref="G11:L11"/>
    <mergeCell ref="G13:L13"/>
  </mergeCells>
  <hyperlinks>
    <hyperlink ref="B2" location="Indhold!B43" display="Skema REM5 – Oplysninger om aflønning af medarbejdere, hvis arbejde har væsentlig indflydelse på instituttets risikoprofil (identificerede medarbejdere)" xr:uid="{3D43D8BA-FD0E-490F-BCB3-EC3E03915C26}"/>
  </hyperlinks>
  <pageMargins left="0.70866141732283472" right="0.70866141732283472" top="0.74803149606299213" bottom="0.74803149606299213" header="0.31496062992125984" footer="0.31496062992125984"/>
  <pageSetup paperSize="9" scale="51" fitToWidth="0" fitToHeight="0" orientation="landscape" cellComments="asDisplayed" r:id="rId1"/>
  <headerFooter>
    <oddHeader>&amp;CDA
Bilag XXXIII</oddHeader>
    <oddFooter>&amp;C&amp;P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04865-3463-40CD-8D31-3A4EF93FF7E6}">
  <dimension ref="B2:R16"/>
  <sheetViews>
    <sheetView showGridLines="0" zoomScaleNormal="100" workbookViewId="0">
      <selection activeCell="F1" sqref="F1"/>
    </sheetView>
  </sheetViews>
  <sheetFormatPr defaultRowHeight="15" x14ac:dyDescent="0.25"/>
  <cols>
    <col min="2" max="2" width="5.7109375" customWidth="1"/>
    <col min="3" max="3" width="47.140625" customWidth="1"/>
    <col min="4" max="8" width="17.7109375" customWidth="1"/>
    <col min="9" max="9" width="19.42578125" customWidth="1"/>
    <col min="10" max="11" width="17.7109375" customWidth="1"/>
  </cols>
  <sheetData>
    <row r="2" spans="2:18" ht="18.75" x14ac:dyDescent="0.3">
      <c r="B2" s="866" t="s">
        <v>1207</v>
      </c>
      <c r="D2" s="416"/>
      <c r="F2" s="416"/>
      <c r="G2" s="416"/>
      <c r="H2" s="416"/>
      <c r="I2" s="416"/>
      <c r="J2" s="416"/>
      <c r="K2" s="416"/>
      <c r="L2" s="416"/>
      <c r="M2" s="416"/>
      <c r="N2" s="416"/>
      <c r="O2" s="416"/>
      <c r="P2" s="416"/>
      <c r="Q2" s="416"/>
      <c r="R2" s="416"/>
    </row>
    <row r="3" spans="2:18" ht="15.75" x14ac:dyDescent="0.25">
      <c r="B3" s="386"/>
      <c r="C3" s="388"/>
      <c r="D3" s="389"/>
      <c r="E3" s="389"/>
      <c r="F3" s="389"/>
      <c r="G3" s="389"/>
      <c r="H3" s="389"/>
      <c r="I3" s="389"/>
      <c r="J3" s="389"/>
      <c r="K3" s="386"/>
    </row>
    <row r="4" spans="2:18" ht="15.75" x14ac:dyDescent="0.25">
      <c r="B4" s="386"/>
      <c r="C4" s="388"/>
      <c r="D4" s="389"/>
      <c r="E4" s="389"/>
      <c r="F4" s="389"/>
      <c r="G4" s="389"/>
      <c r="H4" s="389"/>
      <c r="I4" s="389"/>
      <c r="J4" s="389"/>
      <c r="K4" s="386"/>
    </row>
    <row r="5" spans="2:18" x14ac:dyDescent="0.25">
      <c r="B5" s="740"/>
      <c r="C5" s="739"/>
      <c r="D5" s="1138" t="s">
        <v>1208</v>
      </c>
      <c r="E5" s="1138"/>
      <c r="F5" s="1138" t="s">
        <v>1209</v>
      </c>
      <c r="G5" s="1138"/>
      <c r="H5" s="1138" t="s">
        <v>1210</v>
      </c>
      <c r="I5" s="1138"/>
      <c r="J5" s="1138" t="s">
        <v>1211</v>
      </c>
      <c r="K5" s="1138"/>
    </row>
    <row r="6" spans="2:18" ht="90" x14ac:dyDescent="0.25">
      <c r="B6" s="746" t="s">
        <v>1423</v>
      </c>
      <c r="C6" s="740"/>
      <c r="D6" s="745"/>
      <c r="E6" s="742" t="s">
        <v>1212</v>
      </c>
      <c r="F6" s="743"/>
      <c r="G6" s="742" t="s">
        <v>1212</v>
      </c>
      <c r="H6" s="743"/>
      <c r="I6" s="742" t="s">
        <v>1213</v>
      </c>
      <c r="J6" s="743"/>
      <c r="K6" s="742" t="s">
        <v>1213</v>
      </c>
    </row>
    <row r="7" spans="2:18" x14ac:dyDescent="0.25">
      <c r="B7" s="740"/>
      <c r="C7" s="741"/>
      <c r="D7" s="744" t="s">
        <v>343</v>
      </c>
      <c r="E7" s="744" t="s">
        <v>585</v>
      </c>
      <c r="F7" s="744" t="s">
        <v>587</v>
      </c>
      <c r="G7" s="744" t="s">
        <v>589</v>
      </c>
      <c r="H7" s="744" t="s">
        <v>591</v>
      </c>
      <c r="I7" s="744" t="s">
        <v>595</v>
      </c>
      <c r="J7" s="744" t="s">
        <v>597</v>
      </c>
      <c r="K7" s="744" t="s">
        <v>599</v>
      </c>
    </row>
    <row r="8" spans="2:18" x14ac:dyDescent="0.25">
      <c r="B8" s="747" t="s">
        <v>343</v>
      </c>
      <c r="C8" s="748" t="s">
        <v>1214</v>
      </c>
      <c r="D8" s="749">
        <v>0</v>
      </c>
      <c r="E8" s="749">
        <v>0</v>
      </c>
      <c r="F8" s="750"/>
      <c r="G8" s="750"/>
      <c r="H8" s="749">
        <f>9800245000/1000</f>
        <v>9800245</v>
      </c>
      <c r="I8" s="749">
        <f>3406675000/1000</f>
        <v>3406675</v>
      </c>
      <c r="J8" s="751"/>
      <c r="K8" s="750"/>
    </row>
    <row r="9" spans="2:18" x14ac:dyDescent="0.25">
      <c r="B9" s="752" t="s">
        <v>585</v>
      </c>
      <c r="C9" s="753" t="s">
        <v>949</v>
      </c>
      <c r="D9" s="754">
        <v>0</v>
      </c>
      <c r="E9" s="754">
        <v>0</v>
      </c>
      <c r="F9" s="754">
        <v>0</v>
      </c>
      <c r="G9" s="754">
        <v>0</v>
      </c>
      <c r="H9" s="754">
        <f>384959000/1000</f>
        <v>384959</v>
      </c>
      <c r="I9" s="754">
        <f>28477000/1000</f>
        <v>28477</v>
      </c>
      <c r="J9" s="755">
        <f>384959000/1000</f>
        <v>384959</v>
      </c>
      <c r="K9" s="754">
        <f>28477000/1000</f>
        <v>28477</v>
      </c>
    </row>
    <row r="10" spans="2:18" x14ac:dyDescent="0.25">
      <c r="B10" s="752" t="s">
        <v>587</v>
      </c>
      <c r="C10" s="753" t="s">
        <v>598</v>
      </c>
      <c r="D10" s="754">
        <v>0</v>
      </c>
      <c r="E10" s="754">
        <v>0</v>
      </c>
      <c r="F10" s="754">
        <v>0</v>
      </c>
      <c r="G10" s="754">
        <v>0</v>
      </c>
      <c r="H10" s="754">
        <f>3378198000/1000</f>
        <v>3378198</v>
      </c>
      <c r="I10" s="754">
        <f>3378198000/1000</f>
        <v>3378198</v>
      </c>
      <c r="J10" s="754">
        <f t="shared" ref="J10:K10" si="0">3378198000/1000</f>
        <v>3378198</v>
      </c>
      <c r="K10" s="754">
        <f t="shared" si="0"/>
        <v>3378198</v>
      </c>
    </row>
    <row r="11" spans="2:18" ht="30" x14ac:dyDescent="0.25">
      <c r="B11" s="752" t="s">
        <v>589</v>
      </c>
      <c r="C11" s="756" t="s">
        <v>1215</v>
      </c>
      <c r="D11" s="754">
        <v>0</v>
      </c>
      <c r="E11" s="754">
        <v>0</v>
      </c>
      <c r="F11" s="754">
        <v>0</v>
      </c>
      <c r="G11" s="754">
        <v>0</v>
      </c>
      <c r="H11" s="754">
        <v>0</v>
      </c>
      <c r="I11" s="754">
        <v>0</v>
      </c>
      <c r="J11" s="754">
        <v>0</v>
      </c>
      <c r="K11" s="754">
        <v>0</v>
      </c>
    </row>
    <row r="12" spans="2:18" x14ac:dyDescent="0.25">
      <c r="B12" s="752" t="s">
        <v>591</v>
      </c>
      <c r="C12" s="756" t="s">
        <v>1216</v>
      </c>
      <c r="D12" s="754">
        <v>0</v>
      </c>
      <c r="E12" s="754">
        <v>0</v>
      </c>
      <c r="F12" s="754">
        <v>0</v>
      </c>
      <c r="G12" s="754">
        <v>0</v>
      </c>
      <c r="H12" s="754">
        <v>0</v>
      </c>
      <c r="I12" s="754">
        <v>0</v>
      </c>
      <c r="J12" s="754">
        <v>0</v>
      </c>
      <c r="K12" s="754">
        <v>0</v>
      </c>
    </row>
    <row r="13" spans="2:18" x14ac:dyDescent="0.25">
      <c r="B13" s="752" t="s">
        <v>593</v>
      </c>
      <c r="C13" s="756" t="s">
        <v>1217</v>
      </c>
      <c r="D13" s="754">
        <v>0</v>
      </c>
      <c r="E13" s="754">
        <v>0</v>
      </c>
      <c r="F13" s="754">
        <v>0</v>
      </c>
      <c r="G13" s="754">
        <v>0</v>
      </c>
      <c r="H13" s="754">
        <v>0</v>
      </c>
      <c r="I13" s="754">
        <v>0</v>
      </c>
      <c r="J13" s="754">
        <v>0</v>
      </c>
      <c r="K13" s="754">
        <v>0</v>
      </c>
    </row>
    <row r="14" spans="2:18" x14ac:dyDescent="0.25">
      <c r="B14" s="752" t="s">
        <v>595</v>
      </c>
      <c r="C14" s="756" t="s">
        <v>1218</v>
      </c>
      <c r="D14" s="754">
        <v>0</v>
      </c>
      <c r="E14" s="754">
        <v>0</v>
      </c>
      <c r="F14" s="754">
        <v>0</v>
      </c>
      <c r="G14" s="754">
        <v>0</v>
      </c>
      <c r="H14" s="754">
        <f>3378198000/1000</f>
        <v>3378198</v>
      </c>
      <c r="I14" s="754">
        <f>3378198000/1000</f>
        <v>3378198</v>
      </c>
      <c r="J14" s="754">
        <f t="shared" ref="J14:K14" si="1">3378198000/1000</f>
        <v>3378198</v>
      </c>
      <c r="K14" s="754">
        <f t="shared" si="1"/>
        <v>3378198</v>
      </c>
    </row>
    <row r="15" spans="2:18" x14ac:dyDescent="0.25">
      <c r="B15" s="752" t="s">
        <v>597</v>
      </c>
      <c r="C15" s="756" t="s">
        <v>1219</v>
      </c>
      <c r="D15" s="754">
        <v>0</v>
      </c>
      <c r="E15" s="754">
        <v>0</v>
      </c>
      <c r="F15" s="754">
        <v>0</v>
      </c>
      <c r="G15" s="754">
        <v>0</v>
      </c>
      <c r="H15" s="754">
        <v>0</v>
      </c>
      <c r="I15" s="754">
        <v>0</v>
      </c>
      <c r="J15" s="754">
        <v>0</v>
      </c>
      <c r="K15" s="754">
        <v>0</v>
      </c>
    </row>
    <row r="16" spans="2:18" x14ac:dyDescent="0.25">
      <c r="B16" s="752" t="s">
        <v>601</v>
      </c>
      <c r="C16" s="753" t="s">
        <v>1220</v>
      </c>
      <c r="D16" s="754">
        <v>0</v>
      </c>
      <c r="E16" s="754">
        <v>0</v>
      </c>
      <c r="F16" s="757"/>
      <c r="G16" s="757"/>
      <c r="H16" s="754">
        <f>(849212000+4106151000+1081725000)/1000</f>
        <v>6037088</v>
      </c>
      <c r="I16" s="754">
        <v>0</v>
      </c>
      <c r="J16" s="758"/>
      <c r="K16" s="757"/>
    </row>
  </sheetData>
  <mergeCells count="4">
    <mergeCell ref="D5:E5"/>
    <mergeCell ref="F5:G5"/>
    <mergeCell ref="H5:I5"/>
    <mergeCell ref="J5:K5"/>
  </mergeCells>
  <conditionalFormatting sqref="D8:K16">
    <cfRule type="cellIs" dxfId="22" priority="1" stopIfTrue="1" operator="lessThan">
      <formula>0</formula>
    </cfRule>
  </conditionalFormatting>
  <hyperlinks>
    <hyperlink ref="B2" location="Indhold!B45" display="Skema EU AE1 - Behæftede og ubehæftede aktiver" xr:uid="{2785D991-9A2F-4008-9DEA-82E8487AB11D}"/>
  </hyperlinks>
  <pageMargins left="0.70866141732283472" right="0.70866141732283472" top="0.74803149606299213" bottom="0.74803149606299213" header="0.31496062992125984" footer="0.31496062992125984"/>
  <pageSetup paperSize="9" scale="65" orientation="landscape" r:id="rId1"/>
  <headerFooter>
    <oddHeader>&amp;CDA
Bilag XXXV</oddHeader>
    <oddFooter>&amp;C&amp;P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22E8B-B6B8-49E7-B05C-F8FBFD3826CB}">
  <dimension ref="A1:X304"/>
  <sheetViews>
    <sheetView showGridLines="0" zoomScaleNormal="100" zoomScalePageLayoutView="85" workbookViewId="0">
      <selection activeCell="F1" sqref="F1"/>
    </sheetView>
  </sheetViews>
  <sheetFormatPr defaultColWidth="8.85546875" defaultRowHeight="11.25" x14ac:dyDescent="0.25"/>
  <cols>
    <col min="1" max="1" width="1.85546875" style="871" customWidth="1"/>
    <col min="2" max="2" width="7.85546875" style="871" customWidth="1"/>
    <col min="3" max="3" width="78.85546875" style="871" bestFit="1" customWidth="1"/>
    <col min="4" max="4" width="32" style="875" bestFit="1" customWidth="1"/>
    <col min="5" max="16384" width="8.85546875" style="875"/>
  </cols>
  <sheetData>
    <row r="1" spans="1:24" s="871" customFormat="1" ht="12" customHeight="1" x14ac:dyDescent="0.25"/>
    <row r="2" spans="1:24" s="871" customFormat="1" ht="15" x14ac:dyDescent="0.25">
      <c r="B2" s="866" t="s">
        <v>1572</v>
      </c>
      <c r="C2" s="873"/>
    </row>
    <row r="3" spans="1:24" s="871" customFormat="1" x14ac:dyDescent="0.25">
      <c r="B3" s="872"/>
      <c r="C3" s="873"/>
    </row>
    <row r="4" spans="1:24" s="874" customFormat="1" ht="51" customHeight="1" x14ac:dyDescent="0.25">
      <c r="B4" s="1141"/>
      <c r="C4" s="1142"/>
      <c r="D4" s="1143" t="s">
        <v>1513</v>
      </c>
      <c r="E4" s="871"/>
      <c r="F4" s="871"/>
      <c r="G4" s="871"/>
      <c r="H4" s="871"/>
      <c r="I4" s="871"/>
      <c r="J4" s="871"/>
      <c r="K4" s="871"/>
      <c r="L4" s="871"/>
      <c r="M4" s="871"/>
      <c r="N4" s="871"/>
      <c r="O4" s="871"/>
      <c r="P4" s="871"/>
      <c r="Q4" s="871"/>
      <c r="R4" s="871"/>
      <c r="S4" s="871"/>
      <c r="T4" s="871"/>
      <c r="U4" s="871"/>
      <c r="V4" s="871"/>
      <c r="W4" s="871"/>
      <c r="X4" s="871"/>
    </row>
    <row r="5" spans="1:24" s="877" customFormat="1" ht="16.5" customHeight="1" x14ac:dyDescent="0.25">
      <c r="A5" s="876"/>
      <c r="B5" s="718" t="s">
        <v>1423</v>
      </c>
      <c r="C5" s="719"/>
      <c r="D5" s="1144"/>
    </row>
    <row r="6" spans="1:24" ht="20.100000000000001" customHeight="1" x14ac:dyDescent="0.25">
      <c r="B6" s="1139" t="s">
        <v>1524</v>
      </c>
      <c r="C6" s="1140"/>
      <c r="D6" s="878"/>
    </row>
    <row r="7" spans="1:24" ht="20.100000000000001" customHeight="1" x14ac:dyDescent="0.25">
      <c r="B7" s="889" t="s">
        <v>134</v>
      </c>
      <c r="C7" s="889" t="s">
        <v>1514</v>
      </c>
      <c r="D7" s="755">
        <f>1237984620/1000</f>
        <v>1237984.6200000001</v>
      </c>
    </row>
    <row r="8" spans="1:24" ht="20.100000000000001" customHeight="1" x14ac:dyDescent="0.25">
      <c r="B8" s="889" t="s">
        <v>1500</v>
      </c>
      <c r="C8" s="889" t="s">
        <v>1515</v>
      </c>
      <c r="D8" s="755">
        <f>1237984620/1000</f>
        <v>1237984.6200000001</v>
      </c>
    </row>
    <row r="9" spans="1:24" ht="20.100000000000001" customHeight="1" x14ac:dyDescent="0.25">
      <c r="B9" s="889" t="s">
        <v>1501</v>
      </c>
      <c r="C9" s="889" t="s">
        <v>1516</v>
      </c>
      <c r="D9" s="755">
        <f>5136453489/1000</f>
        <v>5136453.4890000001</v>
      </c>
    </row>
    <row r="10" spans="1:24" ht="20.100000000000001" customHeight="1" x14ac:dyDescent="0.25">
      <c r="B10" s="889" t="s">
        <v>1502</v>
      </c>
      <c r="C10" s="889" t="s">
        <v>1517</v>
      </c>
      <c r="D10" s="890">
        <f>+D8/D9</f>
        <v>0.24101933808048936</v>
      </c>
    </row>
    <row r="11" spans="1:24" ht="20.100000000000001" customHeight="1" x14ac:dyDescent="0.25">
      <c r="B11" s="889" t="s">
        <v>205</v>
      </c>
      <c r="C11" s="889" t="s">
        <v>1515</v>
      </c>
      <c r="D11" s="890">
        <f>+D8/D9</f>
        <v>0.24101933808048936</v>
      </c>
    </row>
    <row r="12" spans="1:24" ht="20.100000000000001" customHeight="1" x14ac:dyDescent="0.25">
      <c r="B12" s="889" t="s">
        <v>1503</v>
      </c>
      <c r="C12" s="889" t="s">
        <v>1518</v>
      </c>
      <c r="D12" s="755">
        <f>10850676000/1000</f>
        <v>10850676</v>
      </c>
    </row>
    <row r="13" spans="1:24" ht="22.5" customHeight="1" x14ac:dyDescent="0.25">
      <c r="B13" s="889" t="s">
        <v>1504</v>
      </c>
      <c r="C13" s="889" t="s">
        <v>1519</v>
      </c>
      <c r="D13" s="890">
        <f>+D7/D12</f>
        <v>0.11409285651880123</v>
      </c>
    </row>
    <row r="14" spans="1:24" ht="20.100000000000001" customHeight="1" x14ac:dyDescent="0.25">
      <c r="B14" s="889" t="s">
        <v>209</v>
      </c>
      <c r="C14" s="889" t="s">
        <v>1520</v>
      </c>
      <c r="D14" s="890">
        <f>+D8/D12</f>
        <v>0.11409285651880123</v>
      </c>
    </row>
    <row r="15" spans="1:24" ht="30.75" customHeight="1" x14ac:dyDescent="0.25">
      <c r="B15" s="889" t="s">
        <v>1505</v>
      </c>
      <c r="C15" s="889" t="s">
        <v>1521</v>
      </c>
      <c r="D15" s="888"/>
    </row>
    <row r="16" spans="1:24" ht="50.25" customHeight="1" x14ac:dyDescent="0.25">
      <c r="B16" s="889" t="s">
        <v>1506</v>
      </c>
      <c r="C16" s="889" t="s">
        <v>1522</v>
      </c>
      <c r="D16" s="888"/>
    </row>
    <row r="17" spans="2:4" ht="75" x14ac:dyDescent="0.25">
      <c r="B17" s="889" t="s">
        <v>1507</v>
      </c>
      <c r="C17" s="889" t="s">
        <v>1523</v>
      </c>
      <c r="D17" s="888"/>
    </row>
    <row r="18" spans="2:4" ht="20.100000000000001" customHeight="1" x14ac:dyDescent="0.25">
      <c r="B18" s="1139" t="s">
        <v>1513</v>
      </c>
      <c r="C18" s="1140"/>
      <c r="D18" s="878"/>
    </row>
    <row r="19" spans="2:4" ht="20.100000000000001" customHeight="1" x14ac:dyDescent="0.25">
      <c r="B19" s="889" t="s">
        <v>475</v>
      </c>
      <c r="C19" s="889" t="s">
        <v>1525</v>
      </c>
      <c r="D19" s="890">
        <f>+D10</f>
        <v>0.24101933808048936</v>
      </c>
    </row>
    <row r="20" spans="2:4" ht="20.100000000000001" customHeight="1" x14ac:dyDescent="0.25">
      <c r="B20" s="889" t="s">
        <v>477</v>
      </c>
      <c r="C20" s="889" t="s">
        <v>1526</v>
      </c>
      <c r="D20" s="890">
        <f>+D11</f>
        <v>0.24101933808048936</v>
      </c>
    </row>
    <row r="21" spans="2:4" ht="20.100000000000001" customHeight="1" x14ac:dyDescent="0.25">
      <c r="B21" s="889" t="s">
        <v>479</v>
      </c>
      <c r="C21" s="889" t="s">
        <v>1527</v>
      </c>
      <c r="D21" s="890">
        <f>+D13</f>
        <v>0.11409285651880123</v>
      </c>
    </row>
    <row r="22" spans="2:4" ht="20.100000000000001" customHeight="1" x14ac:dyDescent="0.25">
      <c r="B22" s="889" t="s">
        <v>481</v>
      </c>
      <c r="C22" s="889" t="s">
        <v>1526</v>
      </c>
      <c r="D22" s="890">
        <f>+D14</f>
        <v>0.11409285651880123</v>
      </c>
    </row>
    <row r="23" spans="2:4" s="871" customFormat="1" x14ac:dyDescent="0.25"/>
    <row r="24" spans="2:4" s="871" customFormat="1" x14ac:dyDescent="0.25"/>
    <row r="25" spans="2:4" s="871" customFormat="1" x14ac:dyDescent="0.25"/>
    <row r="26" spans="2:4" s="871" customFormat="1" x14ac:dyDescent="0.25"/>
    <row r="27" spans="2:4" s="871" customFormat="1" x14ac:dyDescent="0.25"/>
    <row r="28" spans="2:4" s="871" customFormat="1" x14ac:dyDescent="0.25"/>
    <row r="29" spans="2:4" s="871" customFormat="1" x14ac:dyDescent="0.25"/>
    <row r="30" spans="2:4" s="871" customFormat="1" x14ac:dyDescent="0.25"/>
    <row r="31" spans="2:4" s="871" customFormat="1" x14ac:dyDescent="0.25"/>
    <row r="32" spans="2:4" s="871" customFormat="1" x14ac:dyDescent="0.25"/>
    <row r="33" s="871" customFormat="1" x14ac:dyDescent="0.25"/>
    <row r="34" s="871" customFormat="1" x14ac:dyDescent="0.25"/>
    <row r="35" s="871" customFormat="1" x14ac:dyDescent="0.25"/>
    <row r="36" s="871" customFormat="1" x14ac:dyDescent="0.25"/>
    <row r="37" s="871" customFormat="1" x14ac:dyDescent="0.25"/>
    <row r="38" s="871" customFormat="1" x14ac:dyDescent="0.25"/>
    <row r="39" s="871" customFormat="1" x14ac:dyDescent="0.25"/>
    <row r="40" s="871" customFormat="1" x14ac:dyDescent="0.25"/>
    <row r="41" s="871" customFormat="1" x14ac:dyDescent="0.25"/>
    <row r="42" s="871" customFormat="1" x14ac:dyDescent="0.25"/>
    <row r="43" s="871" customFormat="1" x14ac:dyDescent="0.25"/>
    <row r="44" s="871" customFormat="1" x14ac:dyDescent="0.25"/>
    <row r="45" s="871" customFormat="1" x14ac:dyDescent="0.25"/>
    <row r="46" s="871" customFormat="1" x14ac:dyDescent="0.25"/>
    <row r="47" s="871" customFormat="1" x14ac:dyDescent="0.25"/>
    <row r="48" s="871" customFormat="1" x14ac:dyDescent="0.25"/>
    <row r="49" s="871" customFormat="1" x14ac:dyDescent="0.25"/>
    <row r="50" s="871" customFormat="1" x14ac:dyDescent="0.25"/>
    <row r="51" s="871" customFormat="1" x14ac:dyDescent="0.25"/>
    <row r="52" s="871" customFormat="1" x14ac:dyDescent="0.25"/>
    <row r="53" s="871" customFormat="1" x14ac:dyDescent="0.25"/>
    <row r="54" s="871" customFormat="1" x14ac:dyDescent="0.25"/>
    <row r="55" s="871" customFormat="1" x14ac:dyDescent="0.25"/>
    <row r="56" s="871" customFormat="1" x14ac:dyDescent="0.25"/>
    <row r="57" s="871" customFormat="1" x14ac:dyDescent="0.25"/>
    <row r="58" s="871" customFormat="1" x14ac:dyDescent="0.25"/>
    <row r="59" s="871" customFormat="1" x14ac:dyDescent="0.25"/>
    <row r="60" s="871" customFormat="1" x14ac:dyDescent="0.25"/>
    <row r="61" s="871" customFormat="1" x14ac:dyDescent="0.25"/>
    <row r="62" s="871" customFormat="1" x14ac:dyDescent="0.25"/>
    <row r="63" s="871" customFormat="1" x14ac:dyDescent="0.25"/>
    <row r="64" s="871" customFormat="1" x14ac:dyDescent="0.25"/>
    <row r="65" s="871" customFormat="1" x14ac:dyDescent="0.25"/>
    <row r="66" s="871" customFormat="1" x14ac:dyDescent="0.25"/>
    <row r="67" s="871" customFormat="1" x14ac:dyDescent="0.25"/>
    <row r="68" s="871" customFormat="1" x14ac:dyDescent="0.25"/>
    <row r="69" s="871" customFormat="1" x14ac:dyDescent="0.25"/>
    <row r="70" s="871" customFormat="1" x14ac:dyDescent="0.25"/>
    <row r="71" s="871" customFormat="1" x14ac:dyDescent="0.25"/>
    <row r="72" s="871" customFormat="1" x14ac:dyDescent="0.25"/>
    <row r="73" s="871" customFormat="1" x14ac:dyDescent="0.25"/>
    <row r="74" s="871" customFormat="1" x14ac:dyDescent="0.25"/>
    <row r="75" s="871" customFormat="1" x14ac:dyDescent="0.25"/>
    <row r="76" s="871" customFormat="1" x14ac:dyDescent="0.25"/>
    <row r="77" s="871" customFormat="1" x14ac:dyDescent="0.25"/>
    <row r="78" s="871" customFormat="1" x14ac:dyDescent="0.25"/>
    <row r="79" s="871" customFormat="1" x14ac:dyDescent="0.25"/>
    <row r="80" s="871" customFormat="1" x14ac:dyDescent="0.25"/>
    <row r="81" s="871" customFormat="1" x14ac:dyDescent="0.25"/>
    <row r="82" s="871" customFormat="1" x14ac:dyDescent="0.25"/>
    <row r="83" s="871" customFormat="1" x14ac:dyDescent="0.25"/>
    <row r="84" s="871" customFormat="1" x14ac:dyDescent="0.25"/>
    <row r="85" s="871" customFormat="1" x14ac:dyDescent="0.25"/>
    <row r="86" s="871" customFormat="1" x14ac:dyDescent="0.25"/>
    <row r="87" s="871" customFormat="1" x14ac:dyDescent="0.25"/>
    <row r="88" s="871" customFormat="1" x14ac:dyDescent="0.25"/>
    <row r="89" s="871" customFormat="1" x14ac:dyDescent="0.25"/>
    <row r="90" s="871" customFormat="1" x14ac:dyDescent="0.25"/>
    <row r="91" s="871" customFormat="1" x14ac:dyDescent="0.25"/>
    <row r="92" s="871" customFormat="1" x14ac:dyDescent="0.25"/>
    <row r="93" s="871" customFormat="1" x14ac:dyDescent="0.25"/>
    <row r="94" s="871" customFormat="1" x14ac:dyDescent="0.25"/>
    <row r="95" s="871" customFormat="1" x14ac:dyDescent="0.25"/>
    <row r="96" s="871" customFormat="1" x14ac:dyDescent="0.25"/>
    <row r="97" s="871" customFormat="1" x14ac:dyDescent="0.25"/>
    <row r="98" s="871" customFormat="1" x14ac:dyDescent="0.25"/>
    <row r="99" s="871" customFormat="1" x14ac:dyDescent="0.25"/>
    <row r="100" s="871" customFormat="1" x14ac:dyDescent="0.25"/>
    <row r="101" s="871" customFormat="1" x14ac:dyDescent="0.25"/>
    <row r="102" s="871" customFormat="1" x14ac:dyDescent="0.25"/>
    <row r="103" s="871" customFormat="1" x14ac:dyDescent="0.25"/>
    <row r="104" s="871" customFormat="1" x14ac:dyDescent="0.25"/>
    <row r="105" s="871" customFormat="1" x14ac:dyDescent="0.25"/>
    <row r="106" s="871" customFormat="1" x14ac:dyDescent="0.25"/>
    <row r="107" s="871" customFormat="1" x14ac:dyDescent="0.25"/>
    <row r="108" s="871" customFormat="1" x14ac:dyDescent="0.25"/>
    <row r="109" s="871" customFormat="1" x14ac:dyDescent="0.25"/>
    <row r="110" s="871" customFormat="1" x14ac:dyDescent="0.25"/>
    <row r="111" s="871" customFormat="1" x14ac:dyDescent="0.25"/>
    <row r="112" s="871" customFormat="1" x14ac:dyDescent="0.25"/>
    <row r="113" s="871" customFormat="1" x14ac:dyDescent="0.25"/>
    <row r="114" s="871" customFormat="1" x14ac:dyDescent="0.25"/>
    <row r="115" s="871" customFormat="1" x14ac:dyDescent="0.25"/>
    <row r="116" s="871" customFormat="1" x14ac:dyDescent="0.25"/>
    <row r="117" s="871" customFormat="1" x14ac:dyDescent="0.25"/>
    <row r="118" s="871" customFormat="1" x14ac:dyDescent="0.25"/>
    <row r="119" s="871" customFormat="1" x14ac:dyDescent="0.25"/>
    <row r="120" s="871" customFormat="1" x14ac:dyDescent="0.25"/>
    <row r="121" s="871" customFormat="1" x14ac:dyDescent="0.25"/>
    <row r="122" s="871" customFormat="1" x14ac:dyDescent="0.25"/>
    <row r="123" s="871" customFormat="1" x14ac:dyDescent="0.25"/>
    <row r="124" s="871" customFormat="1" x14ac:dyDescent="0.25"/>
    <row r="125" s="871" customFormat="1" x14ac:dyDescent="0.25"/>
    <row r="126" s="871" customFormat="1" x14ac:dyDescent="0.25"/>
    <row r="127" s="871" customFormat="1" x14ac:dyDescent="0.25"/>
    <row r="128" s="871" customFormat="1" x14ac:dyDescent="0.25"/>
    <row r="129" s="871" customFormat="1" x14ac:dyDescent="0.25"/>
    <row r="130" s="871" customFormat="1" x14ac:dyDescent="0.25"/>
    <row r="131" s="871" customFormat="1" x14ac:dyDescent="0.25"/>
    <row r="132" s="871" customFormat="1" x14ac:dyDescent="0.25"/>
    <row r="133" s="871" customFormat="1" x14ac:dyDescent="0.25"/>
    <row r="134" s="871" customFormat="1" x14ac:dyDescent="0.25"/>
    <row r="135" s="871" customFormat="1" x14ac:dyDescent="0.25"/>
    <row r="136" s="871" customFormat="1" x14ac:dyDescent="0.25"/>
    <row r="137" s="871" customFormat="1" x14ac:dyDescent="0.25"/>
    <row r="138" s="871" customFormat="1" x14ac:dyDescent="0.25"/>
    <row r="139" s="871" customFormat="1" x14ac:dyDescent="0.25"/>
    <row r="140" s="871" customFormat="1" x14ac:dyDescent="0.25"/>
    <row r="141" s="871" customFormat="1" x14ac:dyDescent="0.25"/>
    <row r="142" s="871" customFormat="1" x14ac:dyDescent="0.25"/>
    <row r="143" s="871" customFormat="1" x14ac:dyDescent="0.25"/>
    <row r="144" s="871" customFormat="1" x14ac:dyDescent="0.25"/>
    <row r="145" s="871" customFormat="1" x14ac:dyDescent="0.25"/>
    <row r="146" s="871" customFormat="1" x14ac:dyDescent="0.25"/>
    <row r="147" s="871" customFormat="1" x14ac:dyDescent="0.25"/>
    <row r="148" s="871" customFormat="1" x14ac:dyDescent="0.25"/>
    <row r="149" s="871" customFormat="1" x14ac:dyDescent="0.25"/>
    <row r="150" s="871" customFormat="1" x14ac:dyDescent="0.25"/>
    <row r="151" s="871" customFormat="1" x14ac:dyDescent="0.25"/>
    <row r="152" s="871" customFormat="1" x14ac:dyDescent="0.25"/>
    <row r="153" s="871" customFormat="1" x14ac:dyDescent="0.25"/>
    <row r="154" s="871" customFormat="1" x14ac:dyDescent="0.25"/>
    <row r="155" s="871" customFormat="1" x14ac:dyDescent="0.25"/>
    <row r="156" s="871" customFormat="1" x14ac:dyDescent="0.25"/>
    <row r="157" s="871" customFormat="1" x14ac:dyDescent="0.25"/>
    <row r="158" s="871" customFormat="1" x14ac:dyDescent="0.25"/>
    <row r="159" s="871" customFormat="1" x14ac:dyDescent="0.25"/>
    <row r="160" s="871" customFormat="1" x14ac:dyDescent="0.25"/>
    <row r="161" s="871" customFormat="1" x14ac:dyDescent="0.25"/>
    <row r="162" s="871" customFormat="1" x14ac:dyDescent="0.25"/>
    <row r="163" s="871" customFormat="1" x14ac:dyDescent="0.25"/>
    <row r="164" s="871" customFormat="1" x14ac:dyDescent="0.25"/>
    <row r="165" s="871" customFormat="1" x14ac:dyDescent="0.25"/>
    <row r="166" s="871" customFormat="1" x14ac:dyDescent="0.25"/>
    <row r="167" s="871" customFormat="1" x14ac:dyDescent="0.25"/>
    <row r="168" s="871" customFormat="1" x14ac:dyDescent="0.25"/>
    <row r="169" s="871" customFormat="1" x14ac:dyDescent="0.25"/>
    <row r="170" s="871" customFormat="1" x14ac:dyDescent="0.25"/>
    <row r="171" s="871" customFormat="1" x14ac:dyDescent="0.25"/>
    <row r="172" s="871" customFormat="1" x14ac:dyDescent="0.25"/>
    <row r="173" s="871" customFormat="1" x14ac:dyDescent="0.25"/>
    <row r="174" s="871" customFormat="1" x14ac:dyDescent="0.25"/>
    <row r="175" s="871" customFormat="1" x14ac:dyDescent="0.25"/>
    <row r="176" s="871" customFormat="1" x14ac:dyDescent="0.25"/>
    <row r="177" s="871" customFormat="1" x14ac:dyDescent="0.25"/>
    <row r="178" s="871" customFormat="1" x14ac:dyDescent="0.25"/>
    <row r="179" s="871" customFormat="1" x14ac:dyDescent="0.25"/>
    <row r="180" s="871" customFormat="1" x14ac:dyDescent="0.25"/>
    <row r="181" s="871" customFormat="1" x14ac:dyDescent="0.25"/>
    <row r="182" s="871" customFormat="1" x14ac:dyDescent="0.25"/>
    <row r="183" s="871" customFormat="1" x14ac:dyDescent="0.25"/>
    <row r="184" s="871" customFormat="1" x14ac:dyDescent="0.25"/>
    <row r="185" s="871" customFormat="1" x14ac:dyDescent="0.25"/>
    <row r="186" s="871" customFormat="1" x14ac:dyDescent="0.25"/>
    <row r="187" s="871" customFormat="1" x14ac:dyDescent="0.25"/>
    <row r="188" s="871" customFormat="1" x14ac:dyDescent="0.25"/>
    <row r="189" s="871" customFormat="1" x14ac:dyDescent="0.25"/>
    <row r="190" s="871" customFormat="1" x14ac:dyDescent="0.25"/>
    <row r="191" s="871" customFormat="1" x14ac:dyDescent="0.25"/>
    <row r="192" s="871" customFormat="1" x14ac:dyDescent="0.25"/>
    <row r="193" s="871" customFormat="1" x14ac:dyDescent="0.25"/>
    <row r="194" s="871" customFormat="1" x14ac:dyDescent="0.25"/>
    <row r="195" s="871" customFormat="1" x14ac:dyDescent="0.25"/>
    <row r="196" s="871" customFormat="1" x14ac:dyDescent="0.25"/>
    <row r="197" s="871" customFormat="1" x14ac:dyDescent="0.25"/>
    <row r="198" s="871" customFormat="1" x14ac:dyDescent="0.25"/>
    <row r="199" s="871" customFormat="1" x14ac:dyDescent="0.25"/>
    <row r="200" s="871" customFormat="1" x14ac:dyDescent="0.25"/>
    <row r="201" s="871" customFormat="1" x14ac:dyDescent="0.25"/>
    <row r="202" s="871" customFormat="1" x14ac:dyDescent="0.25"/>
    <row r="203" s="871" customFormat="1" x14ac:dyDescent="0.25"/>
    <row r="204" s="871" customFormat="1" x14ac:dyDescent="0.25"/>
    <row r="205" s="871" customFormat="1" x14ac:dyDescent="0.25"/>
    <row r="206" s="871" customFormat="1" x14ac:dyDescent="0.25"/>
    <row r="207" s="871" customFormat="1" x14ac:dyDescent="0.25"/>
    <row r="208" s="871" customFormat="1" x14ac:dyDescent="0.25"/>
    <row r="209" s="871" customFormat="1" x14ac:dyDescent="0.25"/>
    <row r="210" s="871" customFormat="1" x14ac:dyDescent="0.25"/>
    <row r="211" s="871" customFormat="1" x14ac:dyDescent="0.25"/>
    <row r="212" s="871" customFormat="1" x14ac:dyDescent="0.25"/>
    <row r="213" s="871" customFormat="1" x14ac:dyDescent="0.25"/>
    <row r="214" s="871" customFormat="1" x14ac:dyDescent="0.25"/>
    <row r="215" s="871" customFormat="1" x14ac:dyDescent="0.25"/>
    <row r="216" s="871" customFormat="1" x14ac:dyDescent="0.25"/>
    <row r="217" s="871" customFormat="1" x14ac:dyDescent="0.25"/>
    <row r="218" s="871" customFormat="1" x14ac:dyDescent="0.25"/>
    <row r="219" s="871" customFormat="1" x14ac:dyDescent="0.25"/>
    <row r="220" s="871" customFormat="1" x14ac:dyDescent="0.25"/>
    <row r="221" s="871" customFormat="1" x14ac:dyDescent="0.25"/>
    <row r="222" s="871" customFormat="1" x14ac:dyDescent="0.25"/>
    <row r="223" s="871" customFormat="1" x14ac:dyDescent="0.25"/>
    <row r="224" s="871" customFormat="1" x14ac:dyDescent="0.25"/>
    <row r="225" s="871" customFormat="1" x14ac:dyDescent="0.25"/>
    <row r="226" s="871" customFormat="1" x14ac:dyDescent="0.25"/>
    <row r="227" s="871" customFormat="1" x14ac:dyDescent="0.25"/>
    <row r="228" s="871" customFormat="1" x14ac:dyDescent="0.25"/>
    <row r="229" s="871" customFormat="1" x14ac:dyDescent="0.25"/>
    <row r="230" s="871" customFormat="1" x14ac:dyDescent="0.25"/>
    <row r="231" s="871" customFormat="1" x14ac:dyDescent="0.25"/>
    <row r="232" s="871" customFormat="1" x14ac:dyDescent="0.25"/>
    <row r="233" s="871" customFormat="1" x14ac:dyDescent="0.25"/>
    <row r="234" s="871" customFormat="1" x14ac:dyDescent="0.25"/>
    <row r="235" s="871" customFormat="1" x14ac:dyDescent="0.25"/>
    <row r="236" s="871" customFormat="1" x14ac:dyDescent="0.25"/>
    <row r="237" s="871" customFormat="1" x14ac:dyDescent="0.25"/>
    <row r="238" s="871" customFormat="1" x14ac:dyDescent="0.25"/>
    <row r="239" s="871" customFormat="1" x14ac:dyDescent="0.25"/>
    <row r="240" s="871" customFormat="1" x14ac:dyDescent="0.25"/>
    <row r="241" s="871" customFormat="1" x14ac:dyDescent="0.25"/>
    <row r="242" s="871" customFormat="1" x14ac:dyDescent="0.25"/>
    <row r="243" s="871" customFormat="1" x14ac:dyDescent="0.25"/>
    <row r="244" s="871" customFormat="1" x14ac:dyDescent="0.25"/>
    <row r="245" s="871" customFormat="1" x14ac:dyDescent="0.25"/>
    <row r="246" s="871" customFormat="1" x14ac:dyDescent="0.25"/>
    <row r="247" s="871" customFormat="1" x14ac:dyDescent="0.25"/>
    <row r="248" s="871" customFormat="1" x14ac:dyDescent="0.25"/>
    <row r="249" s="871" customFormat="1" x14ac:dyDescent="0.25"/>
    <row r="250" s="871" customFormat="1" x14ac:dyDescent="0.25"/>
    <row r="251" s="871" customFormat="1" x14ac:dyDescent="0.25"/>
    <row r="252" s="871" customFormat="1" x14ac:dyDescent="0.25"/>
    <row r="253" s="871" customFormat="1" x14ac:dyDescent="0.25"/>
    <row r="254" s="871" customFormat="1" x14ac:dyDescent="0.25"/>
    <row r="255" s="871" customFormat="1" x14ac:dyDescent="0.25"/>
    <row r="256" s="871" customFormat="1" x14ac:dyDescent="0.25"/>
    <row r="257" s="871" customFormat="1" x14ac:dyDescent="0.25"/>
    <row r="258" s="871" customFormat="1" x14ac:dyDescent="0.25"/>
    <row r="259" s="871" customFormat="1" x14ac:dyDescent="0.25"/>
    <row r="260" s="871" customFormat="1" x14ac:dyDescent="0.25"/>
    <row r="261" s="871" customFormat="1" x14ac:dyDescent="0.25"/>
    <row r="262" s="871" customFormat="1" x14ac:dyDescent="0.25"/>
    <row r="263" s="871" customFormat="1" x14ac:dyDescent="0.25"/>
    <row r="264" s="871" customFormat="1" x14ac:dyDescent="0.25"/>
    <row r="265" s="871" customFormat="1" x14ac:dyDescent="0.25"/>
    <row r="266" s="871" customFormat="1" x14ac:dyDescent="0.25"/>
    <row r="267" s="871" customFormat="1" x14ac:dyDescent="0.25"/>
    <row r="268" s="871" customFormat="1" x14ac:dyDescent="0.25"/>
    <row r="269" s="871" customFormat="1" x14ac:dyDescent="0.25"/>
    <row r="270" s="871" customFormat="1" x14ac:dyDescent="0.25"/>
    <row r="271" s="871" customFormat="1" x14ac:dyDescent="0.25"/>
    <row r="272" s="871" customFormat="1" x14ac:dyDescent="0.25"/>
    <row r="273" s="871" customFormat="1" x14ac:dyDescent="0.25"/>
    <row r="274" s="871" customFormat="1" x14ac:dyDescent="0.25"/>
    <row r="275" s="871" customFormat="1" x14ac:dyDescent="0.25"/>
    <row r="276" s="871" customFormat="1" x14ac:dyDescent="0.25"/>
    <row r="277" s="871" customFormat="1" x14ac:dyDescent="0.25"/>
    <row r="278" s="871" customFormat="1" x14ac:dyDescent="0.25"/>
    <row r="279" s="871" customFormat="1" x14ac:dyDescent="0.25"/>
    <row r="280" s="871" customFormat="1" x14ac:dyDescent="0.25"/>
    <row r="281" s="871" customFormat="1" x14ac:dyDescent="0.25"/>
    <row r="282" s="871" customFormat="1" x14ac:dyDescent="0.25"/>
    <row r="283" s="871" customFormat="1" x14ac:dyDescent="0.25"/>
    <row r="284" s="871" customFormat="1" x14ac:dyDescent="0.25"/>
    <row r="285" s="871" customFormat="1" x14ac:dyDescent="0.25"/>
    <row r="286" s="871" customFormat="1" x14ac:dyDescent="0.25"/>
    <row r="287" s="871" customFormat="1" x14ac:dyDescent="0.25"/>
    <row r="288" s="871" customFormat="1" x14ac:dyDescent="0.25"/>
    <row r="289" s="871" customFormat="1" x14ac:dyDescent="0.25"/>
    <row r="290" s="871" customFormat="1" x14ac:dyDescent="0.25"/>
    <row r="291" s="871" customFormat="1" x14ac:dyDescent="0.25"/>
    <row r="292" s="871" customFormat="1" x14ac:dyDescent="0.25"/>
    <row r="293" s="871" customFormat="1" x14ac:dyDescent="0.25"/>
    <row r="294" s="871" customFormat="1" x14ac:dyDescent="0.25"/>
    <row r="295" s="871" customFormat="1" x14ac:dyDescent="0.25"/>
    <row r="296" s="871" customFormat="1" x14ac:dyDescent="0.25"/>
    <row r="297" s="871" customFormat="1" x14ac:dyDescent="0.25"/>
    <row r="298" s="871" customFormat="1" x14ac:dyDescent="0.25"/>
    <row r="299" s="871" customFormat="1" x14ac:dyDescent="0.25"/>
    <row r="300" s="871" customFormat="1" x14ac:dyDescent="0.25"/>
    <row r="301" s="871" customFormat="1" x14ac:dyDescent="0.25"/>
    <row r="302" s="871" customFormat="1" x14ac:dyDescent="0.25"/>
    <row r="303" s="871" customFormat="1" x14ac:dyDescent="0.25"/>
    <row r="304" s="871" customFormat="1" x14ac:dyDescent="0.25"/>
  </sheetData>
  <mergeCells count="4">
    <mergeCell ref="B6:C6"/>
    <mergeCell ref="B18:C18"/>
    <mergeCell ref="B4:C4"/>
    <mergeCell ref="D4:D5"/>
  </mergeCells>
  <conditionalFormatting sqref="D6:D22">
    <cfRule type="cellIs" dxfId="21" priority="1" stopIfTrue="1" operator="lessThan">
      <formula>0</formula>
    </cfRule>
  </conditionalFormatting>
  <hyperlinks>
    <hyperlink ref="B2" location="Indhold!B47" display="Skema EU KM2 - Væsentlige målekriterier" xr:uid="{D8838D18-29E8-42E8-A9E5-851545F78F69}"/>
  </hyperlinks>
  <pageMargins left="0.70866141732283472" right="0.70866141732283472" top="0.74803149606299213" bottom="0.74803149606299213" header="0.31496062992125984" footer="0.31496062992125984"/>
  <pageSetup paperSize="9" orientation="landscape" r:id="rId1"/>
  <headerFooter>
    <oddHeader>&amp;L&amp;"Calibri"&amp;12&amp;K000000 EBA Regular Use&amp;1#_x000D_&amp;CAnnex V
EN</oddHeader>
    <oddFooter>&amp;C&amp;P</oddFooter>
  </headerFooter>
  <ignoredErrors>
    <ignoredError sqref="D10:D11 D13:D22" unlockedFormula="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2BD0C-AC4E-4440-95E0-C6340750212E}">
  <dimension ref="A1:E50"/>
  <sheetViews>
    <sheetView showGridLines="0" topLeftCell="A25" zoomScaleNormal="100" zoomScalePageLayoutView="115" workbookViewId="0">
      <selection activeCell="F1" sqref="F1"/>
    </sheetView>
  </sheetViews>
  <sheetFormatPr defaultColWidth="11.42578125" defaultRowHeight="11.25" x14ac:dyDescent="0.15"/>
  <cols>
    <col min="1" max="1" width="1.85546875" style="879" customWidth="1"/>
    <col min="2" max="2" width="7.85546875" style="879" customWidth="1"/>
    <col min="3" max="3" width="73.140625" style="879" customWidth="1"/>
    <col min="4" max="5" width="19.140625" style="879" bestFit="1" customWidth="1"/>
    <col min="6" max="16384" width="11.42578125" style="879"/>
  </cols>
  <sheetData>
    <row r="1" spans="1:5" ht="12" customHeight="1" x14ac:dyDescent="0.15"/>
    <row r="2" spans="1:5" ht="15.75" customHeight="1" x14ac:dyDescent="0.25">
      <c r="B2" s="866" t="s">
        <v>1573</v>
      </c>
    </row>
    <row r="3" spans="1:5" ht="12" customHeight="1" x14ac:dyDescent="0.15"/>
    <row r="4" spans="1:5" ht="15" customHeight="1" x14ac:dyDescent="0.25">
      <c r="B4" s="718"/>
      <c r="C4" s="719"/>
      <c r="D4" s="1143" t="s">
        <v>1513</v>
      </c>
      <c r="E4" s="1143" t="s">
        <v>1528</v>
      </c>
    </row>
    <row r="5" spans="1:5" ht="64.5" customHeight="1" x14ac:dyDescent="0.25">
      <c r="B5" s="1145" t="s">
        <v>1423</v>
      </c>
      <c r="C5" s="1146"/>
      <c r="D5" s="1144"/>
      <c r="E5" s="1144"/>
    </row>
    <row r="6" spans="1:5" ht="20.100000000000001" customHeight="1" x14ac:dyDescent="0.15">
      <c r="B6" s="1139" t="s">
        <v>1529</v>
      </c>
      <c r="C6" s="1140"/>
      <c r="D6" s="1139"/>
      <c r="E6" s="1140"/>
    </row>
    <row r="7" spans="1:5" ht="20.100000000000001" customHeight="1" x14ac:dyDescent="0.15">
      <c r="A7" s="880"/>
      <c r="B7" s="891">
        <v>1</v>
      </c>
      <c r="C7" s="889" t="s">
        <v>1530</v>
      </c>
      <c r="D7" s="755">
        <f>1237984620/1000</f>
        <v>1237984.6200000001</v>
      </c>
      <c r="E7" s="648"/>
    </row>
    <row r="8" spans="1:5" ht="20.100000000000001" customHeight="1" x14ac:dyDescent="0.15">
      <c r="A8" s="880"/>
      <c r="B8" s="891">
        <v>2</v>
      </c>
      <c r="C8" s="892" t="s">
        <v>1531</v>
      </c>
      <c r="D8" s="755">
        <v>0</v>
      </c>
      <c r="E8" s="648"/>
    </row>
    <row r="9" spans="1:5" ht="20.100000000000001" customHeight="1" x14ac:dyDescent="0.15">
      <c r="A9" s="880"/>
      <c r="B9" s="893">
        <v>3</v>
      </c>
      <c r="C9" s="894" t="s">
        <v>1532</v>
      </c>
      <c r="D9" s="881"/>
      <c r="E9" s="648"/>
    </row>
    <row r="10" spans="1:5" ht="20.100000000000001" customHeight="1" x14ac:dyDescent="0.15">
      <c r="A10" s="880"/>
      <c r="B10" s="893">
        <v>4</v>
      </c>
      <c r="C10" s="894" t="s">
        <v>1532</v>
      </c>
      <c r="D10" s="881"/>
      <c r="E10" s="648"/>
    </row>
    <row r="11" spans="1:5" ht="20.100000000000001" customHeight="1" x14ac:dyDescent="0.15">
      <c r="A11" s="880"/>
      <c r="B11" s="893">
        <v>5</v>
      </c>
      <c r="C11" s="894" t="s">
        <v>1532</v>
      </c>
      <c r="D11" s="881"/>
      <c r="E11" s="648"/>
    </row>
    <row r="12" spans="1:5" ht="20.100000000000001" customHeight="1" x14ac:dyDescent="0.15">
      <c r="A12" s="880"/>
      <c r="B12" s="891">
        <v>6</v>
      </c>
      <c r="C12" s="892" t="s">
        <v>1533</v>
      </c>
      <c r="D12" s="755">
        <v>0</v>
      </c>
      <c r="E12" s="648"/>
    </row>
    <row r="13" spans="1:5" ht="20.100000000000001" customHeight="1" x14ac:dyDescent="0.15">
      <c r="A13" s="880"/>
      <c r="B13" s="893">
        <v>7</v>
      </c>
      <c r="C13" s="894" t="s">
        <v>1532</v>
      </c>
      <c r="D13" s="882"/>
      <c r="E13" s="648"/>
    </row>
    <row r="14" spans="1:5" ht="20.100000000000001" customHeight="1" x14ac:dyDescent="0.15">
      <c r="A14" s="880"/>
      <c r="B14" s="893">
        <v>8</v>
      </c>
      <c r="C14" s="894" t="s">
        <v>1532</v>
      </c>
      <c r="D14" s="882"/>
      <c r="E14" s="648"/>
    </row>
    <row r="15" spans="1:5" ht="27" customHeight="1" x14ac:dyDescent="0.15">
      <c r="B15" s="891">
        <v>11</v>
      </c>
      <c r="C15" s="895" t="s">
        <v>1534</v>
      </c>
      <c r="D15" s="755">
        <f>1237984620/1000</f>
        <v>1237984.6200000001</v>
      </c>
      <c r="E15" s="648"/>
    </row>
    <row r="16" spans="1:5" ht="20.100000000000001" customHeight="1" x14ac:dyDescent="0.15">
      <c r="B16" s="1139" t="s">
        <v>1535</v>
      </c>
      <c r="C16" s="1140"/>
      <c r="D16" s="1139"/>
      <c r="E16" s="1140"/>
    </row>
    <row r="17" spans="1:5" ht="36" x14ac:dyDescent="0.15">
      <c r="B17" s="891">
        <v>12</v>
      </c>
      <c r="C17" s="895" t="s">
        <v>1536</v>
      </c>
      <c r="D17" s="755">
        <v>0</v>
      </c>
      <c r="E17" s="648"/>
    </row>
    <row r="18" spans="1:5" ht="36" x14ac:dyDescent="0.15">
      <c r="B18" s="891" t="s">
        <v>1508</v>
      </c>
      <c r="C18" s="895" t="s">
        <v>1537</v>
      </c>
      <c r="D18" s="755">
        <v>0</v>
      </c>
      <c r="E18" s="648"/>
    </row>
    <row r="19" spans="1:5" s="883" customFormat="1" ht="27.95" customHeight="1" x14ac:dyDescent="0.15">
      <c r="B19" s="896" t="s">
        <v>1509</v>
      </c>
      <c r="C19" s="895" t="s">
        <v>1538</v>
      </c>
      <c r="D19" s="755">
        <v>0</v>
      </c>
      <c r="E19" s="648"/>
    </row>
    <row r="20" spans="1:5" s="883" customFormat="1" ht="27.95" customHeight="1" x14ac:dyDescent="0.15">
      <c r="B20" s="896" t="s">
        <v>1510</v>
      </c>
      <c r="C20" s="895" t="s">
        <v>1539</v>
      </c>
      <c r="D20" s="755">
        <v>0</v>
      </c>
      <c r="E20" s="648"/>
    </row>
    <row r="21" spans="1:5" ht="27.95" customHeight="1" x14ac:dyDescent="0.15">
      <c r="B21" s="891">
        <v>13</v>
      </c>
      <c r="C21" s="895" t="s">
        <v>1540</v>
      </c>
      <c r="D21" s="755">
        <v>0</v>
      </c>
      <c r="E21" s="648"/>
    </row>
    <row r="22" spans="1:5" ht="27.95" customHeight="1" x14ac:dyDescent="0.15">
      <c r="B22" s="896" t="s">
        <v>1136</v>
      </c>
      <c r="C22" s="895" t="s">
        <v>1541</v>
      </c>
      <c r="D22" s="755">
        <v>0</v>
      </c>
      <c r="E22" s="648"/>
    </row>
    <row r="23" spans="1:5" ht="24" x14ac:dyDescent="0.15">
      <c r="B23" s="891">
        <v>14</v>
      </c>
      <c r="C23" s="895" t="s">
        <v>1542</v>
      </c>
      <c r="D23" s="755">
        <v>0</v>
      </c>
      <c r="E23" s="648"/>
    </row>
    <row r="24" spans="1:5" ht="20.100000000000001" customHeight="1" x14ac:dyDescent="0.15">
      <c r="B24" s="893">
        <v>15</v>
      </c>
      <c r="C24" s="894" t="s">
        <v>1532</v>
      </c>
      <c r="D24" s="897"/>
      <c r="E24" s="897"/>
    </row>
    <row r="25" spans="1:5" ht="20.100000000000001" customHeight="1" x14ac:dyDescent="0.15">
      <c r="B25" s="893">
        <v>16</v>
      </c>
      <c r="C25" s="894" t="s">
        <v>1532</v>
      </c>
      <c r="D25" s="897"/>
      <c r="E25" s="897"/>
    </row>
    <row r="26" spans="1:5" ht="20.100000000000001" customHeight="1" x14ac:dyDescent="0.15">
      <c r="B26" s="891">
        <v>17</v>
      </c>
      <c r="C26" s="892" t="s">
        <v>1543</v>
      </c>
      <c r="D26" s="755">
        <v>0</v>
      </c>
      <c r="E26" s="648"/>
    </row>
    <row r="27" spans="1:5" ht="20.100000000000001" customHeight="1" x14ac:dyDescent="0.15">
      <c r="B27" s="896" t="s">
        <v>408</v>
      </c>
      <c r="C27" s="898" t="s">
        <v>1544</v>
      </c>
      <c r="D27" s="755">
        <v>0</v>
      </c>
      <c r="E27" s="648"/>
    </row>
    <row r="28" spans="1:5" ht="15" x14ac:dyDescent="0.15">
      <c r="B28" s="1139" t="s">
        <v>1545</v>
      </c>
      <c r="C28" s="1140"/>
      <c r="D28" s="1139"/>
      <c r="E28" s="1140"/>
    </row>
    <row r="29" spans="1:5" ht="20.100000000000001" customHeight="1" x14ac:dyDescent="0.15">
      <c r="A29" s="880"/>
      <c r="B29" s="891">
        <v>18</v>
      </c>
      <c r="C29" s="895" t="s">
        <v>1546</v>
      </c>
      <c r="D29" s="755">
        <f>1237984620/1000</f>
        <v>1237984.6200000001</v>
      </c>
      <c r="E29" s="648"/>
    </row>
    <row r="30" spans="1:5" ht="20.100000000000001" customHeight="1" x14ac:dyDescent="0.15">
      <c r="B30" s="891">
        <v>19</v>
      </c>
      <c r="C30" s="895" t="s">
        <v>1547</v>
      </c>
      <c r="D30" s="899"/>
      <c r="E30" s="648"/>
    </row>
    <row r="31" spans="1:5" ht="20.100000000000001" customHeight="1" x14ac:dyDescent="0.15">
      <c r="B31" s="891">
        <v>20</v>
      </c>
      <c r="C31" s="901" t="s">
        <v>1548</v>
      </c>
      <c r="D31" s="754">
        <v>0</v>
      </c>
      <c r="E31" s="648"/>
    </row>
    <row r="32" spans="1:5" ht="20.100000000000001" customHeight="1" x14ac:dyDescent="0.15">
      <c r="A32" s="880"/>
      <c r="B32" s="893">
        <v>21</v>
      </c>
      <c r="C32" s="894" t="s">
        <v>1532</v>
      </c>
      <c r="D32" s="902"/>
      <c r="E32" s="903"/>
    </row>
    <row r="33" spans="2:5" ht="20.100000000000001" customHeight="1" x14ac:dyDescent="0.15">
      <c r="B33" s="891">
        <v>22</v>
      </c>
      <c r="C33" s="895" t="s">
        <v>1549</v>
      </c>
      <c r="D33" s="755">
        <f>1237984620/1000</f>
        <v>1237984.6200000001</v>
      </c>
      <c r="E33" s="648"/>
    </row>
    <row r="34" spans="2:5" ht="20.100000000000001" customHeight="1" x14ac:dyDescent="0.15">
      <c r="B34" s="896" t="s">
        <v>417</v>
      </c>
      <c r="C34" s="904" t="s">
        <v>1550</v>
      </c>
      <c r="D34" s="755">
        <f>1237984620/1000</f>
        <v>1237984.6200000001</v>
      </c>
      <c r="E34" s="648"/>
    </row>
    <row r="35" spans="2:5" ht="15" x14ac:dyDescent="0.15">
      <c r="B35" s="1139" t="s">
        <v>1551</v>
      </c>
      <c r="C35" s="1140"/>
      <c r="D35" s="1139"/>
      <c r="E35" s="1140"/>
    </row>
    <row r="36" spans="2:5" ht="20.100000000000001" customHeight="1" x14ac:dyDescent="0.15">
      <c r="B36" s="891">
        <v>23</v>
      </c>
      <c r="C36" s="895" t="s">
        <v>1552</v>
      </c>
      <c r="D36" s="755">
        <f>5136453489/1000</f>
        <v>5136453.4890000001</v>
      </c>
      <c r="E36" s="648"/>
    </row>
    <row r="37" spans="2:5" ht="20.100000000000001" customHeight="1" x14ac:dyDescent="0.15">
      <c r="B37" s="891">
        <v>24</v>
      </c>
      <c r="C37" s="895" t="s">
        <v>1553</v>
      </c>
      <c r="D37" s="755">
        <f>10850676000/1000</f>
        <v>10850676</v>
      </c>
      <c r="E37" s="648"/>
    </row>
    <row r="38" spans="2:5" ht="20.100000000000001" customHeight="1" x14ac:dyDescent="0.15">
      <c r="B38" s="1139" t="s">
        <v>1554</v>
      </c>
      <c r="C38" s="1140"/>
      <c r="D38" s="1139"/>
      <c r="E38" s="1140"/>
    </row>
    <row r="39" spans="2:5" ht="20.100000000000001" customHeight="1" x14ac:dyDescent="0.15">
      <c r="B39" s="891">
        <v>25</v>
      </c>
      <c r="C39" s="895" t="s">
        <v>1517</v>
      </c>
      <c r="D39" s="890">
        <f>+D33/D36</f>
        <v>0.24101933808048936</v>
      </c>
      <c r="E39" s="648"/>
    </row>
    <row r="40" spans="2:5" ht="20.100000000000001" customHeight="1" x14ac:dyDescent="0.15">
      <c r="B40" s="896" t="s">
        <v>236</v>
      </c>
      <c r="C40" s="904" t="s">
        <v>1515</v>
      </c>
      <c r="D40" s="890">
        <f>+D34/D36</f>
        <v>0.24101933808048936</v>
      </c>
      <c r="E40" s="648"/>
    </row>
    <row r="41" spans="2:5" ht="20.100000000000001" customHeight="1" x14ac:dyDescent="0.15">
      <c r="B41" s="891">
        <v>26</v>
      </c>
      <c r="C41" s="895" t="s">
        <v>1519</v>
      </c>
      <c r="D41" s="890">
        <f>+D33/D37</f>
        <v>0.11409285651880123</v>
      </c>
      <c r="E41" s="648"/>
    </row>
    <row r="42" spans="2:5" ht="20.100000000000001" customHeight="1" x14ac:dyDescent="0.15">
      <c r="B42" s="896" t="s">
        <v>446</v>
      </c>
      <c r="C42" s="904" t="s">
        <v>1515</v>
      </c>
      <c r="D42" s="890">
        <f>+D34/D37</f>
        <v>0.11409285651880123</v>
      </c>
      <c r="E42" s="648"/>
    </row>
    <row r="43" spans="2:5" ht="27.95" customHeight="1" x14ac:dyDescent="0.15">
      <c r="B43" s="891">
        <v>27</v>
      </c>
      <c r="C43" s="895" t="s">
        <v>1555</v>
      </c>
      <c r="D43" s="890">
        <v>0.161</v>
      </c>
      <c r="E43" s="648"/>
    </row>
    <row r="44" spans="2:5" ht="20.100000000000001" customHeight="1" x14ac:dyDescent="0.15">
      <c r="B44" s="891">
        <v>28</v>
      </c>
      <c r="C44" s="892" t="s">
        <v>1556</v>
      </c>
      <c r="D44" s="900"/>
      <c r="E44" s="648"/>
    </row>
    <row r="45" spans="2:5" ht="20.100000000000001" customHeight="1" x14ac:dyDescent="0.15">
      <c r="B45" s="891">
        <v>29</v>
      </c>
      <c r="C45" s="905" t="s">
        <v>1557</v>
      </c>
      <c r="D45" s="900"/>
      <c r="E45" s="648"/>
    </row>
    <row r="46" spans="2:5" ht="20.100000000000001" customHeight="1" x14ac:dyDescent="0.15">
      <c r="B46" s="891">
        <v>30</v>
      </c>
      <c r="C46" s="905" t="s">
        <v>1558</v>
      </c>
      <c r="D46" s="900"/>
      <c r="E46" s="648"/>
    </row>
    <row r="47" spans="2:5" ht="20.100000000000001" customHeight="1" x14ac:dyDescent="0.15">
      <c r="B47" s="891">
        <v>31</v>
      </c>
      <c r="C47" s="905" t="s">
        <v>1559</v>
      </c>
      <c r="D47" s="900"/>
      <c r="E47" s="648"/>
    </row>
    <row r="48" spans="2:5" ht="27.95" customHeight="1" x14ac:dyDescent="0.15">
      <c r="B48" s="891" t="s">
        <v>1511</v>
      </c>
      <c r="C48" s="905" t="s">
        <v>1560</v>
      </c>
      <c r="D48" s="900"/>
      <c r="E48" s="648"/>
    </row>
    <row r="49" spans="2:5" ht="20.100000000000001" customHeight="1" x14ac:dyDescent="0.15">
      <c r="B49" s="1139" t="s">
        <v>1561</v>
      </c>
      <c r="C49" s="1140"/>
      <c r="D49" s="1139"/>
      <c r="E49" s="1140"/>
    </row>
    <row r="50" spans="2:5" ht="27" customHeight="1" x14ac:dyDescent="0.15">
      <c r="B50" s="891" t="s">
        <v>1512</v>
      </c>
      <c r="C50" s="892" t="s">
        <v>1562</v>
      </c>
      <c r="D50" s="900"/>
      <c r="E50" s="648"/>
    </row>
  </sheetData>
  <mergeCells count="15">
    <mergeCell ref="B35:C35"/>
    <mergeCell ref="D35:E35"/>
    <mergeCell ref="B38:C38"/>
    <mergeCell ref="D38:E38"/>
    <mergeCell ref="B49:C49"/>
    <mergeCell ref="D49:E49"/>
    <mergeCell ref="B16:C16"/>
    <mergeCell ref="D16:E16"/>
    <mergeCell ref="B28:C28"/>
    <mergeCell ref="D28:E28"/>
    <mergeCell ref="B5:C5"/>
    <mergeCell ref="D4:D5"/>
    <mergeCell ref="E4:E5"/>
    <mergeCell ref="B6:C6"/>
    <mergeCell ref="D6:E6"/>
  </mergeCells>
  <conditionalFormatting sqref="D7:D8">
    <cfRule type="cellIs" dxfId="20" priority="29" stopIfTrue="1" operator="lessThan">
      <formula>0</formula>
    </cfRule>
  </conditionalFormatting>
  <conditionalFormatting sqref="D12">
    <cfRule type="cellIs" dxfId="19" priority="28" stopIfTrue="1" operator="lessThan">
      <formula>0</formula>
    </cfRule>
  </conditionalFormatting>
  <conditionalFormatting sqref="D15">
    <cfRule type="cellIs" dxfId="18" priority="27" stopIfTrue="1" operator="lessThan">
      <formula>0</formula>
    </cfRule>
  </conditionalFormatting>
  <conditionalFormatting sqref="D29">
    <cfRule type="cellIs" dxfId="17" priority="24" stopIfTrue="1" operator="lessThan">
      <formula>0</formula>
    </cfRule>
  </conditionalFormatting>
  <conditionalFormatting sqref="D31">
    <cfRule type="cellIs" dxfId="16" priority="1" stopIfTrue="1" operator="lessThan">
      <formula>0</formula>
    </cfRule>
  </conditionalFormatting>
  <conditionalFormatting sqref="D39:D43">
    <cfRule type="cellIs" dxfId="15" priority="11" stopIfTrue="1" operator="lessThan">
      <formula>0</formula>
    </cfRule>
  </conditionalFormatting>
  <conditionalFormatting sqref="D17:E23">
    <cfRule type="cellIs" dxfId="14" priority="9" stopIfTrue="1" operator="lessThan">
      <formula>0</formula>
    </cfRule>
  </conditionalFormatting>
  <conditionalFormatting sqref="D26:E27">
    <cfRule type="cellIs" dxfId="13" priority="8" stopIfTrue="1" operator="lessThan">
      <formula>0</formula>
    </cfRule>
  </conditionalFormatting>
  <conditionalFormatting sqref="D33:E34">
    <cfRule type="cellIs" dxfId="12" priority="6" stopIfTrue="1" operator="lessThan">
      <formula>0</formula>
    </cfRule>
  </conditionalFormatting>
  <conditionalFormatting sqref="D36:E37">
    <cfRule type="cellIs" dxfId="11" priority="5" stopIfTrue="1" operator="lessThan">
      <formula>0</formula>
    </cfRule>
  </conditionalFormatting>
  <conditionalFormatting sqref="E7:E15">
    <cfRule type="cellIs" dxfId="10" priority="10" stopIfTrue="1" operator="lessThan">
      <formula>0</formula>
    </cfRule>
  </conditionalFormatting>
  <conditionalFormatting sqref="E29:E31">
    <cfRule type="cellIs" dxfId="9" priority="7" stopIfTrue="1" operator="lessThan">
      <formula>0</formula>
    </cfRule>
  </conditionalFormatting>
  <conditionalFormatting sqref="E39:E48">
    <cfRule type="cellIs" dxfId="8" priority="3" stopIfTrue="1" operator="lessThan">
      <formula>0</formula>
    </cfRule>
  </conditionalFormatting>
  <conditionalFormatting sqref="E50">
    <cfRule type="cellIs" dxfId="7" priority="2" stopIfTrue="1" operator="lessThan">
      <formula>0</formula>
    </cfRule>
  </conditionalFormatting>
  <hyperlinks>
    <hyperlink ref="B2" location="Indhold!B48" display="Skema EU TLAC1 - Sammensætning" xr:uid="{CBF055B5-09D3-4A23-9802-568AB8EBDFD3}"/>
  </hyperlinks>
  <pageMargins left="0.31496062992125984" right="0.31496062992125984" top="0.74803149606299213" bottom="0.74803149606299213" header="0.31496062992125984" footer="0.31496062992125984"/>
  <pageSetup paperSize="9" orientation="landscape" r:id="rId1"/>
  <headerFooter>
    <oddHeader>&amp;L&amp;"Calibri"&amp;12&amp;K000000 EBA Regular Use&amp;1#_x000D_&amp;CEN
ANNEX V</oddHeader>
    <oddFooter>&amp;C&amp;P</oddFooter>
  </headerFooter>
  <ignoredErrors>
    <ignoredError sqref="D8:D14 D30:D31 D40:D42" unlockedFormula="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EAD70-A956-4B58-9256-9B548497B78F}">
  <dimension ref="B1:J16"/>
  <sheetViews>
    <sheetView showGridLines="0" zoomScaleNormal="100" zoomScalePageLayoutView="115" workbookViewId="0">
      <selection activeCell="F1" sqref="F1"/>
    </sheetView>
  </sheetViews>
  <sheetFormatPr defaultColWidth="8.85546875" defaultRowHeight="11.25" x14ac:dyDescent="0.25"/>
  <cols>
    <col min="1" max="1" width="1.85546875" style="876" customWidth="1"/>
    <col min="2" max="2" width="5.85546875" style="876" customWidth="1"/>
    <col min="3" max="3" width="72" style="876" customWidth="1"/>
    <col min="4" max="5" width="17.85546875" style="876" customWidth="1"/>
    <col min="6" max="6" width="17.7109375" style="876" bestFit="1" customWidth="1"/>
    <col min="7" max="7" width="23.28515625" style="876" bestFit="1" customWidth="1"/>
    <col min="8" max="9" width="19.42578125" style="876" customWidth="1"/>
    <col min="10" max="10" width="17.85546875" style="876" customWidth="1"/>
    <col min="11" max="11" width="13.85546875" style="876" customWidth="1"/>
    <col min="12" max="16384" width="8.85546875" style="876"/>
  </cols>
  <sheetData>
    <row r="1" spans="2:10" ht="12" customHeight="1" x14ac:dyDescent="0.25"/>
    <row r="2" spans="2:10" ht="20.100000000000001" customHeight="1" x14ac:dyDescent="0.25">
      <c r="B2" s="866" t="s">
        <v>1574</v>
      </c>
      <c r="C2" s="886"/>
      <c r="D2" s="884"/>
      <c r="F2" s="884"/>
      <c r="G2" s="884"/>
      <c r="H2" s="884"/>
      <c r="I2" s="884"/>
      <c r="J2" s="884"/>
    </row>
    <row r="3" spans="2:10" x14ac:dyDescent="0.25">
      <c r="B3" s="885"/>
      <c r="C3" s="885"/>
      <c r="D3" s="885"/>
      <c r="E3" s="885"/>
      <c r="F3" s="885"/>
      <c r="G3" s="885"/>
      <c r="H3" s="885"/>
      <c r="I3" s="885"/>
    </row>
    <row r="4" spans="2:10" ht="15" x14ac:dyDescent="0.25">
      <c r="B4" s="718"/>
      <c r="C4" s="719"/>
      <c r="D4" s="1151" t="s">
        <v>1563</v>
      </c>
      <c r="E4" s="1152"/>
      <c r="F4" s="1152"/>
      <c r="G4" s="1152"/>
      <c r="H4" s="1152"/>
      <c r="I4" s="1152"/>
      <c r="J4" s="1148" t="s">
        <v>1571</v>
      </c>
    </row>
    <row r="5" spans="2:10" ht="20.100000000000001" customHeight="1" x14ac:dyDescent="0.25">
      <c r="B5" s="718"/>
      <c r="C5" s="719"/>
      <c r="D5" s="1043">
        <v>1</v>
      </c>
      <c r="E5" s="1043">
        <v>2</v>
      </c>
      <c r="F5" s="1043">
        <v>3</v>
      </c>
      <c r="G5" s="1043">
        <v>4</v>
      </c>
      <c r="H5" s="1043">
        <v>5</v>
      </c>
      <c r="I5" s="1043">
        <v>6</v>
      </c>
      <c r="J5" s="1149"/>
    </row>
    <row r="6" spans="2:10" ht="20.100000000000001" customHeight="1" x14ac:dyDescent="0.25">
      <c r="B6" s="1145" t="s">
        <v>1423</v>
      </c>
      <c r="C6" s="1146"/>
      <c r="D6" s="1147">
        <v>2</v>
      </c>
      <c r="E6" s="1147">
        <v>2</v>
      </c>
      <c r="F6" s="1147">
        <v>3</v>
      </c>
      <c r="G6" s="1147"/>
      <c r="H6" s="1147">
        <v>5</v>
      </c>
      <c r="I6" s="1147">
        <v>6</v>
      </c>
      <c r="J6" s="1150"/>
    </row>
    <row r="7" spans="2:10" ht="20.100000000000001" customHeight="1" x14ac:dyDescent="0.25">
      <c r="B7" s="906">
        <v>1</v>
      </c>
      <c r="C7" s="907" t="s">
        <v>1564</v>
      </c>
      <c r="D7" s="115" t="s">
        <v>288</v>
      </c>
      <c r="E7" s="115" t="s">
        <v>1582</v>
      </c>
      <c r="F7" s="115" t="s">
        <v>285</v>
      </c>
      <c r="G7" s="115" t="s">
        <v>1583</v>
      </c>
      <c r="H7" s="115"/>
      <c r="I7" s="115"/>
      <c r="J7" s="900"/>
    </row>
    <row r="8" spans="2:10" ht="20.100000000000001" customHeight="1" x14ac:dyDescent="0.25">
      <c r="B8" s="893">
        <v>2</v>
      </c>
      <c r="C8" s="893" t="s">
        <v>1532</v>
      </c>
      <c r="D8" s="893"/>
      <c r="E8" s="893"/>
      <c r="F8" s="893"/>
      <c r="G8" s="893"/>
      <c r="H8" s="893"/>
      <c r="I8" s="893"/>
      <c r="J8" s="893"/>
    </row>
    <row r="9" spans="2:10" ht="20.100000000000001" customHeight="1" x14ac:dyDescent="0.25">
      <c r="B9" s="893">
        <v>3</v>
      </c>
      <c r="C9" s="893" t="s">
        <v>1532</v>
      </c>
      <c r="D9" s="893"/>
      <c r="E9" s="893"/>
      <c r="F9" s="893"/>
      <c r="G9" s="893"/>
      <c r="H9" s="893"/>
      <c r="I9" s="893"/>
      <c r="J9" s="893"/>
    </row>
    <row r="10" spans="2:10" ht="20.100000000000001" customHeight="1" x14ac:dyDescent="0.25">
      <c r="B10" s="893">
        <v>4</v>
      </c>
      <c r="C10" s="893" t="s">
        <v>1532</v>
      </c>
      <c r="D10" s="893"/>
      <c r="E10" s="893"/>
      <c r="F10" s="893"/>
      <c r="G10" s="893"/>
      <c r="H10" s="893"/>
      <c r="I10" s="893"/>
      <c r="J10" s="893"/>
    </row>
    <row r="11" spans="2:10" ht="24" x14ac:dyDescent="0.25">
      <c r="B11" s="906">
        <v>5</v>
      </c>
      <c r="C11" s="907" t="s">
        <v>1565</v>
      </c>
      <c r="D11" s="755">
        <f>1237984620/1000</f>
        <v>1237984.6200000001</v>
      </c>
      <c r="E11" s="755">
        <v>0</v>
      </c>
      <c r="F11" s="755">
        <v>0</v>
      </c>
      <c r="G11" s="755">
        <v>0</v>
      </c>
      <c r="H11" s="755">
        <v>0</v>
      </c>
      <c r="I11" s="755">
        <v>0</v>
      </c>
      <c r="J11" s="755">
        <f>SUM(D11:I11)</f>
        <v>1237984.6200000001</v>
      </c>
    </row>
    <row r="12" spans="2:10" ht="20.100000000000001" customHeight="1" x14ac:dyDescent="0.25">
      <c r="B12" s="906">
        <v>6</v>
      </c>
      <c r="C12" s="114" t="s">
        <v>1566</v>
      </c>
      <c r="D12" s="755">
        <v>0</v>
      </c>
      <c r="E12" s="755">
        <v>0</v>
      </c>
      <c r="F12" s="755">
        <v>0</v>
      </c>
      <c r="G12" s="755">
        <v>0</v>
      </c>
      <c r="H12" s="755">
        <v>0</v>
      </c>
      <c r="I12" s="755">
        <v>0</v>
      </c>
      <c r="J12" s="755"/>
    </row>
    <row r="13" spans="2:10" ht="20.100000000000001" customHeight="1" x14ac:dyDescent="0.25">
      <c r="B13" s="906">
        <v>7</v>
      </c>
      <c r="C13" s="114" t="s">
        <v>1567</v>
      </c>
      <c r="D13" s="755">
        <v>0</v>
      </c>
      <c r="E13" s="755">
        <v>0</v>
      </c>
      <c r="F13" s="755">
        <v>0</v>
      </c>
      <c r="G13" s="755">
        <v>0</v>
      </c>
      <c r="H13" s="755">
        <v>0</v>
      </c>
      <c r="I13" s="755">
        <v>0</v>
      </c>
      <c r="J13" s="755"/>
    </row>
    <row r="14" spans="2:10" ht="20.100000000000001" customHeight="1" x14ac:dyDescent="0.25">
      <c r="B14" s="906">
        <v>8</v>
      </c>
      <c r="C14" s="114" t="s">
        <v>1568</v>
      </c>
      <c r="D14" s="755">
        <v>0</v>
      </c>
      <c r="E14" s="755">
        <v>0</v>
      </c>
      <c r="F14" s="755">
        <v>0</v>
      </c>
      <c r="G14" s="755">
        <v>0</v>
      </c>
      <c r="H14" s="755">
        <v>0</v>
      </c>
      <c r="I14" s="755">
        <v>0</v>
      </c>
      <c r="J14" s="755"/>
    </row>
    <row r="15" spans="2:10" ht="20.100000000000001" customHeight="1" x14ac:dyDescent="0.25">
      <c r="B15" s="906">
        <v>9</v>
      </c>
      <c r="C15" s="114" t="s">
        <v>1569</v>
      </c>
      <c r="D15" s="755">
        <v>0</v>
      </c>
      <c r="E15" s="755">
        <v>0</v>
      </c>
      <c r="F15" s="755">
        <v>0</v>
      </c>
      <c r="G15" s="755">
        <v>0</v>
      </c>
      <c r="H15" s="755">
        <v>0</v>
      </c>
      <c r="I15" s="755">
        <v>0</v>
      </c>
      <c r="J15" s="755"/>
    </row>
    <row r="16" spans="2:10" ht="20.100000000000001" customHeight="1" x14ac:dyDescent="0.25">
      <c r="B16" s="906">
        <v>10</v>
      </c>
      <c r="C16" s="114" t="s">
        <v>1570</v>
      </c>
      <c r="D16" s="755">
        <f>1237984620/1000</f>
        <v>1237984.6200000001</v>
      </c>
      <c r="E16" s="755">
        <v>0</v>
      </c>
      <c r="F16" s="755">
        <v>0</v>
      </c>
      <c r="G16" s="755">
        <v>0</v>
      </c>
      <c r="H16" s="755">
        <v>0</v>
      </c>
      <c r="I16" s="755">
        <v>0</v>
      </c>
      <c r="J16" s="755">
        <f>SUM(D16:I16)</f>
        <v>1237984.6200000001</v>
      </c>
    </row>
  </sheetData>
  <mergeCells count="9">
    <mergeCell ref="B6:C6"/>
    <mergeCell ref="G5:G6"/>
    <mergeCell ref="H5:H6"/>
    <mergeCell ref="J4:J6"/>
    <mergeCell ref="D4:I4"/>
    <mergeCell ref="D5:D6"/>
    <mergeCell ref="E5:E6"/>
    <mergeCell ref="F5:F6"/>
    <mergeCell ref="I5:I6"/>
  </mergeCells>
  <conditionalFormatting sqref="D7:J7">
    <cfRule type="cellIs" dxfId="6" priority="3" stopIfTrue="1" operator="lessThan">
      <formula>0</formula>
    </cfRule>
  </conditionalFormatting>
  <conditionalFormatting sqref="D11:J16">
    <cfRule type="cellIs" dxfId="5" priority="1" stopIfTrue="1" operator="lessThan">
      <formula>0</formula>
    </cfRule>
  </conditionalFormatting>
  <hyperlinks>
    <hyperlink ref="B2" location="Indhold!B49" display="Skema EU TLAC3b: Kreditorrækkefølge (afviklingsenhed)" xr:uid="{5E116078-ED10-4DC8-93BB-EEC1F3B70C0B}"/>
  </hyperlinks>
  <pageMargins left="0.70866141732283472" right="0.70866141732283472" top="0.74803149606299213" bottom="0.74803149606299213" header="0.31496062992125984" footer="0.31496062992125984"/>
  <pageSetup paperSize="8" fitToWidth="0" fitToHeight="0" orientation="landscape" r:id="rId1"/>
  <headerFooter>
    <oddHeader>&amp;L&amp;"Calibri"&amp;12&amp;K000000 EBA Regular Use&amp;1#_x000D_&amp;CEN
Annex V</oddHeader>
    <oddFooter>&amp;C&amp;P</oddFooter>
  </headerFooter>
  <ignoredErrors>
    <ignoredError sqref="D12:D15" unlockedFormula="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CDF37-9A95-4AF6-A4E5-E40D0AB2334D}">
  <sheetPr>
    <tabColor rgb="FF0070C0"/>
  </sheetPr>
  <dimension ref="B2:F16"/>
  <sheetViews>
    <sheetView showGridLines="0" zoomScaleNormal="100" workbookViewId="0">
      <selection activeCell="B2" sqref="B2"/>
    </sheetView>
  </sheetViews>
  <sheetFormatPr defaultRowHeight="15" x14ac:dyDescent="0.25"/>
  <cols>
    <col min="2" max="2" width="4.7109375" customWidth="1"/>
    <col min="3" max="4" width="26.42578125" customWidth="1"/>
    <col min="5" max="6" width="27" customWidth="1"/>
  </cols>
  <sheetData>
    <row r="2" spans="2:6" x14ac:dyDescent="0.25">
      <c r="B2" s="866" t="s">
        <v>708</v>
      </c>
    </row>
    <row r="3" spans="2:6" ht="15.75" x14ac:dyDescent="0.25">
      <c r="B3" s="1158"/>
      <c r="C3" s="1158"/>
      <c r="D3" s="219"/>
      <c r="E3" s="611"/>
      <c r="F3" s="611"/>
    </row>
    <row r="4" spans="2:6" ht="15.75" x14ac:dyDescent="0.25">
      <c r="B4" s="816"/>
      <c r="C4" s="816"/>
      <c r="D4" s="219"/>
      <c r="E4" s="611"/>
      <c r="F4" s="611"/>
    </row>
    <row r="5" spans="2:6" ht="15.75" x14ac:dyDescent="0.25">
      <c r="B5" s="1159"/>
      <c r="C5" s="1159"/>
      <c r="D5" s="610"/>
      <c r="E5" s="612" t="s">
        <v>103</v>
      </c>
      <c r="F5" s="612" t="s">
        <v>102</v>
      </c>
    </row>
    <row r="6" spans="2:6" ht="15.75" x14ac:dyDescent="0.25">
      <c r="B6" s="1159"/>
      <c r="C6" s="1159"/>
      <c r="D6" s="609"/>
      <c r="E6" s="1076" t="s">
        <v>709</v>
      </c>
      <c r="F6" s="1078"/>
    </row>
    <row r="7" spans="2:6" ht="15.75" x14ac:dyDescent="0.25">
      <c r="B7" s="1162" t="s">
        <v>1423</v>
      </c>
      <c r="C7" s="1162"/>
      <c r="D7" s="613"/>
      <c r="E7" s="1160"/>
      <c r="F7" s="1161"/>
    </row>
    <row r="8" spans="2:6" ht="16.5" thickBot="1" x14ac:dyDescent="0.3">
      <c r="B8" s="1157"/>
      <c r="C8" s="1157"/>
      <c r="D8" s="614"/>
      <c r="E8" s="615" t="s">
        <v>710</v>
      </c>
      <c r="F8" s="615" t="s">
        <v>711</v>
      </c>
    </row>
    <row r="9" spans="2:6" x14ac:dyDescent="0.25">
      <c r="B9" s="616" t="s">
        <v>343</v>
      </c>
      <c r="C9" s="1155" t="s">
        <v>712</v>
      </c>
      <c r="D9" s="1155"/>
      <c r="E9" s="457">
        <v>0</v>
      </c>
      <c r="F9" s="457">
        <v>0</v>
      </c>
    </row>
    <row r="10" spans="2:6" x14ac:dyDescent="0.25">
      <c r="B10" s="617" t="s">
        <v>349</v>
      </c>
      <c r="C10" s="1156" t="s">
        <v>713</v>
      </c>
      <c r="D10" s="1156"/>
      <c r="E10" s="55">
        <v>0</v>
      </c>
      <c r="F10" s="55">
        <v>0</v>
      </c>
    </row>
    <row r="11" spans="2:6" x14ac:dyDescent="0.25">
      <c r="B11" s="618" t="s">
        <v>585</v>
      </c>
      <c r="C11" s="1153" t="s">
        <v>714</v>
      </c>
      <c r="D11" s="1153"/>
      <c r="E11" s="55">
        <v>0</v>
      </c>
      <c r="F11" s="55">
        <v>0</v>
      </c>
    </row>
    <row r="12" spans="2:6" x14ac:dyDescent="0.25">
      <c r="B12" s="618" t="s">
        <v>587</v>
      </c>
      <c r="C12" s="1153" t="s">
        <v>715</v>
      </c>
      <c r="D12" s="1153"/>
      <c r="E12" s="55">
        <v>0</v>
      </c>
      <c r="F12" s="55">
        <v>0</v>
      </c>
    </row>
    <row r="13" spans="2:6" x14ac:dyDescent="0.25">
      <c r="B13" s="618" t="s">
        <v>589</v>
      </c>
      <c r="C13" s="1153" t="s">
        <v>716</v>
      </c>
      <c r="D13" s="1153"/>
      <c r="E13" s="55">
        <v>0</v>
      </c>
      <c r="F13" s="55">
        <v>0</v>
      </c>
    </row>
    <row r="14" spans="2:6" x14ac:dyDescent="0.25">
      <c r="B14" s="618" t="s">
        <v>591</v>
      </c>
      <c r="C14" s="1153" t="s">
        <v>717</v>
      </c>
      <c r="D14" s="1153"/>
      <c r="E14" s="55">
        <v>0</v>
      </c>
      <c r="F14" s="55">
        <v>0</v>
      </c>
    </row>
    <row r="15" spans="2:6" x14ac:dyDescent="0.25">
      <c r="B15" s="618" t="s">
        <v>593</v>
      </c>
      <c r="C15" s="1153" t="s">
        <v>718</v>
      </c>
      <c r="D15" s="1153"/>
      <c r="E15" s="55">
        <v>0</v>
      </c>
      <c r="F15" s="55">
        <v>0</v>
      </c>
    </row>
    <row r="16" spans="2:6" x14ac:dyDescent="0.25">
      <c r="B16" s="619" t="s">
        <v>595</v>
      </c>
      <c r="C16" s="1154" t="s">
        <v>0</v>
      </c>
      <c r="D16" s="1154"/>
      <c r="E16" s="55">
        <v>0</v>
      </c>
      <c r="F16" s="55">
        <v>0</v>
      </c>
    </row>
  </sheetData>
  <mergeCells count="14">
    <mergeCell ref="B8:C8"/>
    <mergeCell ref="B3:C3"/>
    <mergeCell ref="B5:C5"/>
    <mergeCell ref="B6:C6"/>
    <mergeCell ref="E6:F7"/>
    <mergeCell ref="B7:C7"/>
    <mergeCell ref="C15:D15"/>
    <mergeCell ref="C16:D16"/>
    <mergeCell ref="C9:D9"/>
    <mergeCell ref="C10:D10"/>
    <mergeCell ref="C11:D11"/>
    <mergeCell ref="C12:D12"/>
    <mergeCell ref="C13:D13"/>
    <mergeCell ref="C14:D14"/>
  </mergeCells>
  <hyperlinks>
    <hyperlink ref="B2" location="Indhold!B54" display="Skema EU CQ7: Sikkerhedsstillelse opnået gennem overtagelse og fuldbyrdelsesprocesser " xr:uid="{0DAC9D37-8E8E-4AF3-9F42-C6B0C93A05CB}"/>
  </hyperlinks>
  <pageMargins left="0.70866141732283472" right="0.70866141732283472" top="0.74803149606299213" bottom="0.74803149606299213" header="0.31496062992125984" footer="0.31496062992125984"/>
  <pageSetup paperSize="9" orientation="landscape" r:id="rId1"/>
  <headerFooter>
    <oddHeader>&amp;CDA
Bilag XV</oddHeader>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F066B-2B55-4E6D-9E3B-E01E6439C134}">
  <sheetPr>
    <tabColor rgb="FF0070C0"/>
    <pageSetUpPr fitToPage="1"/>
  </sheetPr>
  <dimension ref="B2:L39"/>
  <sheetViews>
    <sheetView showGridLines="0" zoomScaleNormal="100" zoomScalePageLayoutView="90" workbookViewId="0">
      <selection activeCell="B2" sqref="B2"/>
    </sheetView>
  </sheetViews>
  <sheetFormatPr defaultColWidth="9.140625" defaultRowHeight="15" x14ac:dyDescent="0.25"/>
  <cols>
    <col min="1" max="1" width="9.140625" style="663"/>
    <col min="2" max="2" width="12.42578125" style="662" customWidth="1"/>
    <col min="3" max="3" width="64.42578125" style="663" customWidth="1"/>
    <col min="4" max="4" width="18.7109375" style="663" customWidth="1"/>
    <col min="5" max="5" width="14.5703125" style="663" customWidth="1"/>
    <col min="6" max="6" width="9.140625" style="663"/>
    <col min="7" max="8" width="14.140625" style="663" customWidth="1"/>
    <col min="9" max="11" width="16.7109375" style="663" customWidth="1"/>
    <col min="12" max="16384" width="9.140625" style="663"/>
  </cols>
  <sheetData>
    <row r="2" spans="2:12" x14ac:dyDescent="0.25">
      <c r="B2" s="866" t="s">
        <v>901</v>
      </c>
      <c r="C2" s="662"/>
    </row>
    <row r="3" spans="2:12" ht="15.75" x14ac:dyDescent="0.25">
      <c r="B3" s="664" t="s">
        <v>902</v>
      </c>
    </row>
    <row r="4" spans="2:12" x14ac:dyDescent="0.25">
      <c r="B4" s="665"/>
      <c r="C4" s="666"/>
      <c r="D4" s="667"/>
      <c r="E4" s="667"/>
      <c r="F4" s="667"/>
      <c r="G4" s="667"/>
      <c r="H4" s="667"/>
      <c r="I4" s="667"/>
      <c r="J4" s="667"/>
      <c r="K4" s="667"/>
      <c r="L4" s="668"/>
    </row>
    <row r="5" spans="2:12" x14ac:dyDescent="0.25">
      <c r="B5" s="669"/>
      <c r="C5" s="670"/>
      <c r="D5" s="464" t="s">
        <v>103</v>
      </c>
      <c r="E5" s="464" t="s">
        <v>102</v>
      </c>
      <c r="F5" s="464" t="s">
        <v>97</v>
      </c>
      <c r="G5" s="464" t="s">
        <v>96</v>
      </c>
      <c r="H5" s="464" t="s">
        <v>95</v>
      </c>
      <c r="I5" s="464" t="s">
        <v>111</v>
      </c>
      <c r="J5" s="464" t="s">
        <v>112</v>
      </c>
      <c r="K5" s="464" t="s">
        <v>164</v>
      </c>
      <c r="L5" s="671"/>
    </row>
    <row r="6" spans="2:12" ht="105" x14ac:dyDescent="0.25">
      <c r="B6" s="653" t="s">
        <v>1423</v>
      </c>
      <c r="C6" s="670"/>
      <c r="D6" s="464" t="s">
        <v>903</v>
      </c>
      <c r="E6" s="464" t="s">
        <v>904</v>
      </c>
      <c r="F6" s="464" t="s">
        <v>1271</v>
      </c>
      <c r="G6" s="464" t="s">
        <v>1272</v>
      </c>
      <c r="H6" s="464" t="s">
        <v>1273</v>
      </c>
      <c r="I6" s="464" t="s">
        <v>1274</v>
      </c>
      <c r="J6" s="464" t="s">
        <v>1275</v>
      </c>
      <c r="K6" s="464" t="s">
        <v>90</v>
      </c>
      <c r="L6" s="671"/>
    </row>
    <row r="7" spans="2:12" x14ac:dyDescent="0.25">
      <c r="B7" s="13" t="s">
        <v>1460</v>
      </c>
      <c r="C7" s="9" t="s">
        <v>905</v>
      </c>
      <c r="D7" s="672">
        <v>0</v>
      </c>
      <c r="E7" s="672">
        <v>0</v>
      </c>
      <c r="F7" s="673"/>
      <c r="G7" s="652" t="s">
        <v>906</v>
      </c>
      <c r="H7" s="652">
        <v>0</v>
      </c>
      <c r="I7" s="674">
        <v>0</v>
      </c>
      <c r="J7" s="674">
        <v>0</v>
      </c>
      <c r="K7" s="674">
        <v>0</v>
      </c>
      <c r="L7" s="671"/>
    </row>
    <row r="8" spans="2:12" ht="30" x14ac:dyDescent="0.25">
      <c r="B8" s="13" t="s">
        <v>1461</v>
      </c>
      <c r="C8" s="9" t="s">
        <v>907</v>
      </c>
      <c r="D8" s="675">
        <v>0</v>
      </c>
      <c r="E8" s="675">
        <v>0</v>
      </c>
      <c r="F8" s="649"/>
      <c r="G8" s="650" t="s">
        <v>906</v>
      </c>
      <c r="H8" s="650">
        <v>0</v>
      </c>
      <c r="I8" s="554">
        <v>0</v>
      </c>
      <c r="J8" s="554">
        <v>0</v>
      </c>
      <c r="K8" s="554">
        <v>0</v>
      </c>
      <c r="L8" s="671"/>
    </row>
    <row r="9" spans="2:12" x14ac:dyDescent="0.25">
      <c r="B9" s="13">
        <v>1</v>
      </c>
      <c r="C9" s="9" t="s">
        <v>908</v>
      </c>
      <c r="D9" s="554">
        <v>0</v>
      </c>
      <c r="E9" s="554">
        <v>0</v>
      </c>
      <c r="F9" s="676"/>
      <c r="G9" s="650" t="s">
        <v>906</v>
      </c>
      <c r="H9" s="650">
        <v>0</v>
      </c>
      <c r="I9" s="554">
        <v>0</v>
      </c>
      <c r="J9" s="554">
        <v>0</v>
      </c>
      <c r="K9" s="554">
        <v>0</v>
      </c>
      <c r="L9" s="671"/>
    </row>
    <row r="10" spans="2:12" ht="30" x14ac:dyDescent="0.25">
      <c r="B10" s="13">
        <v>2</v>
      </c>
      <c r="C10" s="677" t="s">
        <v>909</v>
      </c>
      <c r="D10" s="676"/>
      <c r="E10" s="676"/>
      <c r="F10" s="554">
        <v>0</v>
      </c>
      <c r="G10" s="554">
        <v>0</v>
      </c>
      <c r="H10" s="554">
        <v>0</v>
      </c>
      <c r="I10" s="554">
        <v>0</v>
      </c>
      <c r="J10" s="554">
        <v>0</v>
      </c>
      <c r="K10" s="554">
        <v>0</v>
      </c>
      <c r="L10" s="671"/>
    </row>
    <row r="11" spans="2:12" x14ac:dyDescent="0.25">
      <c r="B11" s="13" t="s">
        <v>910</v>
      </c>
      <c r="C11" s="638" t="s">
        <v>911</v>
      </c>
      <c r="D11" s="676"/>
      <c r="E11" s="676"/>
      <c r="F11" s="554">
        <v>0</v>
      </c>
      <c r="G11" s="676"/>
      <c r="H11" s="554">
        <v>0</v>
      </c>
      <c r="I11" s="554">
        <v>0</v>
      </c>
      <c r="J11" s="554">
        <v>0</v>
      </c>
      <c r="K11" s="554">
        <v>0</v>
      </c>
      <c r="L11" s="671"/>
    </row>
    <row r="12" spans="2:12" x14ac:dyDescent="0.25">
      <c r="B12" s="13" t="s">
        <v>912</v>
      </c>
      <c r="C12" s="638" t="s">
        <v>913</v>
      </c>
      <c r="D12" s="676"/>
      <c r="E12" s="676"/>
      <c r="F12" s="554">
        <v>0</v>
      </c>
      <c r="G12" s="676"/>
      <c r="H12" s="554">
        <v>0</v>
      </c>
      <c r="I12" s="554">
        <v>0</v>
      </c>
      <c r="J12" s="554">
        <v>0</v>
      </c>
      <c r="K12" s="554">
        <v>0</v>
      </c>
      <c r="L12" s="671"/>
    </row>
    <row r="13" spans="2:12" x14ac:dyDescent="0.25">
      <c r="B13" s="13" t="s">
        <v>914</v>
      </c>
      <c r="C13" s="638" t="s">
        <v>915</v>
      </c>
      <c r="D13" s="676"/>
      <c r="E13" s="676"/>
      <c r="F13" s="554">
        <v>0</v>
      </c>
      <c r="G13" s="676"/>
      <c r="H13" s="554">
        <v>0</v>
      </c>
      <c r="I13" s="554">
        <v>0</v>
      </c>
      <c r="J13" s="554">
        <v>0</v>
      </c>
      <c r="K13" s="554">
        <v>0</v>
      </c>
      <c r="L13" s="671"/>
    </row>
    <row r="14" spans="2:12" x14ac:dyDescent="0.25">
      <c r="B14" s="13">
        <v>3</v>
      </c>
      <c r="C14" s="677" t="s">
        <v>916</v>
      </c>
      <c r="D14" s="676"/>
      <c r="E14" s="676"/>
      <c r="F14" s="676"/>
      <c r="G14" s="676"/>
      <c r="H14" s="678">
        <v>0</v>
      </c>
      <c r="I14" s="554">
        <v>0</v>
      </c>
      <c r="J14" s="554">
        <v>0</v>
      </c>
      <c r="K14" s="554">
        <v>0</v>
      </c>
      <c r="L14" s="671"/>
    </row>
    <row r="15" spans="2:12" x14ac:dyDescent="0.25">
      <c r="B15" s="13">
        <v>4</v>
      </c>
      <c r="C15" s="677" t="s">
        <v>917</v>
      </c>
      <c r="D15" s="676"/>
      <c r="E15" s="676"/>
      <c r="F15" s="676"/>
      <c r="G15" s="676"/>
      <c r="H15" s="678">
        <v>0</v>
      </c>
      <c r="I15" s="554">
        <v>0</v>
      </c>
      <c r="J15" s="554">
        <v>0</v>
      </c>
      <c r="K15" s="554">
        <v>0</v>
      </c>
      <c r="L15" s="671"/>
    </row>
    <row r="16" spans="2:12" x14ac:dyDescent="0.25">
      <c r="B16" s="13">
        <v>5</v>
      </c>
      <c r="C16" s="677" t="s">
        <v>918</v>
      </c>
      <c r="D16" s="676"/>
      <c r="E16" s="676"/>
      <c r="F16" s="676"/>
      <c r="G16" s="676"/>
      <c r="H16" s="678">
        <v>0</v>
      </c>
      <c r="I16" s="554">
        <v>0</v>
      </c>
      <c r="J16" s="554">
        <v>0</v>
      </c>
      <c r="K16" s="554">
        <v>0</v>
      </c>
      <c r="L16" s="671"/>
    </row>
    <row r="17" spans="2:12" x14ac:dyDescent="0.25">
      <c r="B17" s="13">
        <v>6</v>
      </c>
      <c r="C17" s="54" t="s">
        <v>0</v>
      </c>
      <c r="D17" s="676"/>
      <c r="E17" s="676"/>
      <c r="F17" s="676"/>
      <c r="G17" s="676"/>
      <c r="H17" s="678">
        <f>SUM(H7:H16)</f>
        <v>0</v>
      </c>
      <c r="I17" s="678">
        <f t="shared" ref="I17:K17" si="0">SUM(I7:I16)</f>
        <v>0</v>
      </c>
      <c r="J17" s="678">
        <f t="shared" si="0"/>
        <v>0</v>
      </c>
      <c r="K17" s="678">
        <f t="shared" si="0"/>
        <v>0</v>
      </c>
      <c r="L17" s="671"/>
    </row>
    <row r="38" spans="12:12" ht="23.25" x14ac:dyDescent="0.35">
      <c r="L38" s="318"/>
    </row>
    <row r="39" spans="12:12" x14ac:dyDescent="0.25">
      <c r="L39" s="125"/>
    </row>
  </sheetData>
  <hyperlinks>
    <hyperlink ref="B2" location="Indhold!B55" display="Skema EU CCR1 - Analyse af modpartskreditrisikoeksponeringer efter metode" xr:uid="{9AEE254D-A1FE-4082-99F3-7D974576C180}"/>
  </hyperlinks>
  <pageMargins left="0.70866141732283472" right="0.70866141732283472" top="0.74803149606299213" bottom="0.74803149606299213" header="0.31496062992125984" footer="0.31496062992125984"/>
  <pageSetup paperSize="9" scale="67" orientation="landscape" r:id="rId1"/>
  <headerFooter>
    <oddHeader>&amp;CDA
Bilag XXV</oddHeader>
    <oddFooter>&amp;C&amp;P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38DD1-76B6-49AD-B72C-9210FA61AF1D}">
  <sheetPr>
    <tabColor rgb="FF0070C0"/>
  </sheetPr>
  <dimension ref="B2:N19"/>
  <sheetViews>
    <sheetView showGridLines="0" zoomScaleNormal="100" workbookViewId="0">
      <selection activeCell="B2" sqref="B2"/>
    </sheetView>
  </sheetViews>
  <sheetFormatPr defaultColWidth="9.140625" defaultRowHeight="15" x14ac:dyDescent="0.25"/>
  <cols>
    <col min="2" max="2" width="4" customWidth="1"/>
    <col min="3" max="3" width="31.5703125" customWidth="1"/>
    <col min="4" max="11" width="14.42578125" customWidth="1"/>
  </cols>
  <sheetData>
    <row r="2" spans="2:11" x14ac:dyDescent="0.25">
      <c r="B2" s="866" t="s">
        <v>988</v>
      </c>
    </row>
    <row r="3" spans="2:11" ht="15" customHeight="1" x14ac:dyDescent="0.3">
      <c r="B3" s="864" t="s">
        <v>935</v>
      </c>
      <c r="C3" s="276"/>
    </row>
    <row r="4" spans="2:11" ht="15" customHeight="1" x14ac:dyDescent="0.25"/>
    <row r="5" spans="2:11" x14ac:dyDescent="0.25">
      <c r="B5" s="505"/>
      <c r="C5" s="654"/>
      <c r="D5" s="656" t="s">
        <v>103</v>
      </c>
      <c r="E5" s="656" t="s">
        <v>102</v>
      </c>
      <c r="F5" s="656" t="s">
        <v>97</v>
      </c>
      <c r="G5" s="656" t="s">
        <v>96</v>
      </c>
      <c r="H5" s="656" t="s">
        <v>95</v>
      </c>
      <c r="I5" s="656" t="s">
        <v>111</v>
      </c>
      <c r="J5" s="656" t="s">
        <v>112</v>
      </c>
      <c r="K5" s="656" t="s">
        <v>164</v>
      </c>
    </row>
    <row r="6" spans="2:11" ht="15" customHeight="1" x14ac:dyDescent="0.25">
      <c r="B6" s="440"/>
      <c r="C6" s="683"/>
      <c r="D6" s="1163" t="s">
        <v>936</v>
      </c>
      <c r="E6" s="1163"/>
      <c r="F6" s="1163"/>
      <c r="G6" s="1163"/>
      <c r="H6" s="1163" t="s">
        <v>937</v>
      </c>
      <c r="I6" s="1163"/>
      <c r="J6" s="1163"/>
      <c r="K6" s="1163"/>
    </row>
    <row r="7" spans="2:11" ht="33" customHeight="1" x14ac:dyDescent="0.25">
      <c r="B7" s="440"/>
      <c r="C7" s="1164" t="s">
        <v>938</v>
      </c>
      <c r="D7" s="1163" t="s">
        <v>939</v>
      </c>
      <c r="E7" s="1163"/>
      <c r="F7" s="1163" t="s">
        <v>940</v>
      </c>
      <c r="G7" s="1163"/>
      <c r="H7" s="1163" t="s">
        <v>939</v>
      </c>
      <c r="I7" s="1163"/>
      <c r="J7" s="1163" t="s">
        <v>940</v>
      </c>
      <c r="K7" s="1163"/>
    </row>
    <row r="8" spans="2:11" x14ac:dyDescent="0.25">
      <c r="B8" s="440"/>
      <c r="C8" s="1165"/>
      <c r="D8" s="684" t="s">
        <v>941</v>
      </c>
      <c r="E8" s="684" t="s">
        <v>942</v>
      </c>
      <c r="F8" s="684" t="s">
        <v>941</v>
      </c>
      <c r="G8" s="684" t="s">
        <v>942</v>
      </c>
      <c r="H8" s="684" t="s">
        <v>941</v>
      </c>
      <c r="I8" s="684" t="s">
        <v>942</v>
      </c>
      <c r="J8" s="684" t="s">
        <v>941</v>
      </c>
      <c r="K8" s="684" t="s">
        <v>942</v>
      </c>
    </row>
    <row r="9" spans="2:11" s="687" customFormat="1" x14ac:dyDescent="0.25">
      <c r="B9" s="454">
        <v>1</v>
      </c>
      <c r="C9" s="685" t="s">
        <v>943</v>
      </c>
      <c r="D9" s="459">
        <v>0</v>
      </c>
      <c r="E9" s="459">
        <v>0</v>
      </c>
      <c r="F9" s="459">
        <v>0</v>
      </c>
      <c r="G9" s="459">
        <v>0</v>
      </c>
      <c r="H9" s="459">
        <v>0</v>
      </c>
      <c r="I9" s="459">
        <v>0</v>
      </c>
      <c r="J9" s="459">
        <v>0</v>
      </c>
      <c r="K9" s="459">
        <v>0</v>
      </c>
    </row>
    <row r="10" spans="2:11" s="687" customFormat="1" x14ac:dyDescent="0.25">
      <c r="B10" s="454">
        <v>2</v>
      </c>
      <c r="C10" s="9" t="s">
        <v>944</v>
      </c>
      <c r="D10" s="56">
        <v>0</v>
      </c>
      <c r="E10" s="56">
        <v>0</v>
      </c>
      <c r="F10" s="56">
        <v>0</v>
      </c>
      <c r="G10" s="56">
        <v>0</v>
      </c>
      <c r="H10" s="56">
        <v>0</v>
      </c>
      <c r="I10" s="56">
        <v>0</v>
      </c>
      <c r="J10" s="56">
        <v>0</v>
      </c>
      <c r="K10" s="56">
        <v>0</v>
      </c>
    </row>
    <row r="11" spans="2:11" s="687" customFormat="1" x14ac:dyDescent="0.25">
      <c r="B11" s="454">
        <v>3</v>
      </c>
      <c r="C11" s="9" t="s">
        <v>945</v>
      </c>
      <c r="D11" s="56">
        <v>0</v>
      </c>
      <c r="E11" s="56">
        <v>0</v>
      </c>
      <c r="F11" s="56">
        <v>0</v>
      </c>
      <c r="G11" s="56">
        <v>0</v>
      </c>
      <c r="H11" s="56">
        <v>0</v>
      </c>
      <c r="I11" s="56">
        <v>0</v>
      </c>
      <c r="J11" s="56">
        <v>0</v>
      </c>
      <c r="K11" s="56">
        <v>0</v>
      </c>
    </row>
    <row r="12" spans="2:11" s="687" customFormat="1" x14ac:dyDescent="0.25">
      <c r="B12" s="454">
        <v>4</v>
      </c>
      <c r="C12" s="9" t="s">
        <v>946</v>
      </c>
      <c r="D12" s="56">
        <v>0</v>
      </c>
      <c r="E12" s="56">
        <v>0</v>
      </c>
      <c r="F12" s="56">
        <v>0</v>
      </c>
      <c r="G12" s="56">
        <v>0</v>
      </c>
      <c r="H12" s="56">
        <v>0</v>
      </c>
      <c r="I12" s="56">
        <v>0</v>
      </c>
      <c r="J12" s="56">
        <v>0</v>
      </c>
      <c r="K12" s="56">
        <v>0</v>
      </c>
    </row>
    <row r="13" spans="2:11" s="687" customFormat="1" x14ac:dyDescent="0.25">
      <c r="B13" s="454">
        <v>5</v>
      </c>
      <c r="C13" s="9" t="s">
        <v>947</v>
      </c>
      <c r="D13" s="56">
        <v>0</v>
      </c>
      <c r="E13" s="56">
        <v>0</v>
      </c>
      <c r="F13" s="56">
        <v>0</v>
      </c>
      <c r="G13" s="56">
        <v>0</v>
      </c>
      <c r="H13" s="56">
        <v>0</v>
      </c>
      <c r="I13" s="56">
        <v>0</v>
      </c>
      <c r="J13" s="56">
        <v>0</v>
      </c>
      <c r="K13" s="56">
        <v>0</v>
      </c>
    </row>
    <row r="14" spans="2:11" s="687" customFormat="1" x14ac:dyDescent="0.25">
      <c r="B14" s="454">
        <v>6</v>
      </c>
      <c r="C14" s="9" t="s">
        <v>948</v>
      </c>
      <c r="D14" s="56">
        <v>0</v>
      </c>
      <c r="E14" s="56">
        <v>0</v>
      </c>
      <c r="F14" s="56">
        <v>0</v>
      </c>
      <c r="G14" s="56">
        <v>0</v>
      </c>
      <c r="H14" s="56">
        <v>0</v>
      </c>
      <c r="I14" s="56">
        <v>0</v>
      </c>
      <c r="J14" s="56">
        <v>0</v>
      </c>
      <c r="K14" s="56">
        <v>0</v>
      </c>
    </row>
    <row r="15" spans="2:11" s="687" customFormat="1" x14ac:dyDescent="0.25">
      <c r="B15" s="454">
        <v>7</v>
      </c>
      <c r="C15" s="9" t="s">
        <v>949</v>
      </c>
      <c r="D15" s="56">
        <v>0</v>
      </c>
      <c r="E15" s="56">
        <v>0</v>
      </c>
      <c r="F15" s="56">
        <v>0</v>
      </c>
      <c r="G15" s="56">
        <v>0</v>
      </c>
      <c r="H15" s="56">
        <v>0</v>
      </c>
      <c r="I15" s="56">
        <v>0</v>
      </c>
      <c r="J15" s="56">
        <v>0</v>
      </c>
      <c r="K15" s="56">
        <v>0</v>
      </c>
    </row>
    <row r="16" spans="2:11" s="687" customFormat="1" x14ac:dyDescent="0.25">
      <c r="B16" s="454">
        <v>8</v>
      </c>
      <c r="C16" s="9" t="s">
        <v>718</v>
      </c>
      <c r="D16" s="56">
        <v>0</v>
      </c>
      <c r="E16" s="56">
        <v>0</v>
      </c>
      <c r="F16" s="56">
        <v>0</v>
      </c>
      <c r="G16" s="56">
        <v>0</v>
      </c>
      <c r="H16" s="56">
        <v>0</v>
      </c>
      <c r="I16" s="56">
        <v>0</v>
      </c>
      <c r="J16" s="56">
        <v>0</v>
      </c>
      <c r="K16" s="56">
        <v>0</v>
      </c>
    </row>
    <row r="17" spans="2:14" s="687" customFormat="1" x14ac:dyDescent="0.25">
      <c r="B17" s="686">
        <v>9</v>
      </c>
      <c r="C17" s="54" t="s">
        <v>0</v>
      </c>
      <c r="D17" s="56">
        <v>0</v>
      </c>
      <c r="E17" s="56">
        <v>0</v>
      </c>
      <c r="F17" s="56">
        <v>0</v>
      </c>
      <c r="G17" s="56">
        <v>0</v>
      </c>
      <c r="H17" s="56">
        <v>0</v>
      </c>
      <c r="I17" s="56">
        <v>0</v>
      </c>
      <c r="J17" s="56">
        <v>0</v>
      </c>
      <c r="K17" s="56">
        <v>0</v>
      </c>
    </row>
    <row r="18" spans="2:14" s="687" customFormat="1" x14ac:dyDescent="0.25">
      <c r="C18" s="688"/>
      <c r="D18" s="688"/>
      <c r="E18" s="688"/>
      <c r="F18" s="688"/>
      <c r="G18" s="688"/>
      <c r="H18" s="688"/>
      <c r="I18" s="688"/>
      <c r="J18" s="688"/>
      <c r="K18" s="688"/>
    </row>
    <row r="19" spans="2:14" x14ac:dyDescent="0.25">
      <c r="N19" s="25"/>
    </row>
  </sheetData>
  <mergeCells count="7">
    <mergeCell ref="D6:G6"/>
    <mergeCell ref="H6:K6"/>
    <mergeCell ref="C7:C8"/>
    <mergeCell ref="D7:E7"/>
    <mergeCell ref="F7:G7"/>
    <mergeCell ref="H7:I7"/>
    <mergeCell ref="J7:K7"/>
  </mergeCells>
  <hyperlinks>
    <hyperlink ref="B2" location="Indhold!B56" display="Skema EU CCR5 — Sammensætning af sikkerhedsstillelse for modpartskreditrisikoeksponeringer" xr:uid="{342070C2-8B73-434C-9573-128A3626A631}"/>
  </hyperlinks>
  <pageMargins left="0.70866141732283472" right="0.70866141732283472" top="0.74803149606299213" bottom="0.74803149606299213" header="0.31496062992125984" footer="0.31496062992125984"/>
  <pageSetup paperSize="9" scale="90" fitToWidth="0" fitToHeight="0" orientation="landscape" r:id="rId1"/>
  <headerFooter>
    <oddHeader>&amp;CDA
Bilag XXV</oddHeader>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C30B1-727B-4532-ACEB-99C5BF08DA34}">
  <sheetPr>
    <tabColor rgb="FF0070C0"/>
  </sheetPr>
  <dimension ref="B2:I16"/>
  <sheetViews>
    <sheetView showGridLines="0" zoomScaleNormal="100" workbookViewId="0">
      <selection activeCell="B2" sqref="B2"/>
    </sheetView>
  </sheetViews>
  <sheetFormatPr defaultColWidth="9.140625" defaultRowHeight="15" x14ac:dyDescent="0.25"/>
  <cols>
    <col min="1" max="2" width="9.140625" style="663"/>
    <col min="3" max="3" width="39.42578125" style="663" bestFit="1" customWidth="1"/>
    <col min="4" max="5" width="18.140625" style="663" customWidth="1"/>
    <col min="6" max="16384" width="9.140625" style="663"/>
  </cols>
  <sheetData>
    <row r="2" spans="2:9" x14ac:dyDescent="0.25">
      <c r="B2" s="866" t="s">
        <v>950</v>
      </c>
    </row>
    <row r="3" spans="2:9" ht="15" customHeight="1" x14ac:dyDescent="0.25">
      <c r="B3" s="664" t="s">
        <v>951</v>
      </c>
    </row>
    <row r="4" spans="2:9" ht="15" customHeight="1" x14ac:dyDescent="0.25">
      <c r="C4" s="666"/>
      <c r="D4" s="665"/>
      <c r="E4" s="665"/>
    </row>
    <row r="5" spans="2:9" ht="20.100000000000001" customHeight="1" x14ac:dyDescent="0.25">
      <c r="B5" s="692"/>
      <c r="C5" s="689"/>
      <c r="D5" s="464" t="s">
        <v>103</v>
      </c>
      <c r="E5" s="464" t="s">
        <v>102</v>
      </c>
    </row>
    <row r="6" spans="2:9" ht="20.100000000000001" customHeight="1" x14ac:dyDescent="0.25">
      <c r="B6" s="692"/>
      <c r="C6" s="689"/>
      <c r="D6" s="464" t="s">
        <v>952</v>
      </c>
      <c r="E6" s="464" t="s">
        <v>953</v>
      </c>
    </row>
    <row r="7" spans="2:9" ht="20.100000000000001" customHeight="1" x14ac:dyDescent="0.25">
      <c r="B7" s="1166" t="s">
        <v>954</v>
      </c>
      <c r="C7" s="1167"/>
      <c r="D7" s="690"/>
      <c r="E7" s="690"/>
      <c r="I7" s="25"/>
    </row>
    <row r="8" spans="2:9" ht="20.100000000000001" customHeight="1" x14ac:dyDescent="0.25">
      <c r="B8" s="646">
        <v>1</v>
      </c>
      <c r="C8" s="693" t="s">
        <v>955</v>
      </c>
      <c r="D8" s="55">
        <v>0</v>
      </c>
      <c r="E8" s="55">
        <v>0</v>
      </c>
    </row>
    <row r="9" spans="2:9" ht="20.100000000000001" customHeight="1" x14ac:dyDescent="0.25">
      <c r="B9" s="646">
        <v>2</v>
      </c>
      <c r="C9" s="693" t="s">
        <v>956</v>
      </c>
      <c r="D9" s="55">
        <v>0</v>
      </c>
      <c r="E9" s="55">
        <v>0</v>
      </c>
    </row>
    <row r="10" spans="2:9" ht="20.100000000000001" customHeight="1" x14ac:dyDescent="0.25">
      <c r="B10" s="646">
        <v>3</v>
      </c>
      <c r="C10" s="693" t="s">
        <v>957</v>
      </c>
      <c r="D10" s="55">
        <v>0</v>
      </c>
      <c r="E10" s="55">
        <v>0</v>
      </c>
    </row>
    <row r="11" spans="2:9" ht="20.100000000000001" customHeight="1" x14ac:dyDescent="0.25">
      <c r="B11" s="646">
        <v>4</v>
      </c>
      <c r="C11" s="693" t="s">
        <v>958</v>
      </c>
      <c r="D11" s="55">
        <v>0</v>
      </c>
      <c r="E11" s="55">
        <v>0</v>
      </c>
    </row>
    <row r="12" spans="2:9" ht="20.100000000000001" customHeight="1" x14ac:dyDescent="0.25">
      <c r="B12" s="646">
        <v>5</v>
      </c>
      <c r="C12" s="693" t="s">
        <v>959</v>
      </c>
      <c r="D12" s="55">
        <v>0</v>
      </c>
      <c r="E12" s="55">
        <v>0</v>
      </c>
    </row>
    <row r="13" spans="2:9" ht="20.100000000000001" customHeight="1" x14ac:dyDescent="0.25">
      <c r="B13" s="646">
        <v>6</v>
      </c>
      <c r="C13" s="691" t="s">
        <v>960</v>
      </c>
      <c r="D13" s="55">
        <v>0</v>
      </c>
      <c r="E13" s="55">
        <v>0</v>
      </c>
    </row>
    <row r="14" spans="2:9" ht="20.100000000000001" customHeight="1" x14ac:dyDescent="0.25">
      <c r="B14" s="1166" t="s">
        <v>961</v>
      </c>
      <c r="C14" s="1167"/>
      <c r="D14" s="523"/>
      <c r="E14" s="523"/>
    </row>
    <row r="15" spans="2:9" ht="20.100000000000001" customHeight="1" x14ac:dyDescent="0.25">
      <c r="B15" s="13">
        <v>7</v>
      </c>
      <c r="C15" s="693" t="s">
        <v>962</v>
      </c>
      <c r="D15" s="55">
        <v>0</v>
      </c>
      <c r="E15" s="55">
        <v>0</v>
      </c>
      <c r="I15" s="25"/>
    </row>
    <row r="16" spans="2:9" ht="20.100000000000001" customHeight="1" x14ac:dyDescent="0.25">
      <c r="B16" s="13">
        <v>8</v>
      </c>
      <c r="C16" s="693" t="s">
        <v>963</v>
      </c>
      <c r="D16" s="55">
        <v>0</v>
      </c>
      <c r="E16" s="55">
        <v>0</v>
      </c>
    </row>
  </sheetData>
  <mergeCells count="2">
    <mergeCell ref="B7:C7"/>
    <mergeCell ref="B14:C14"/>
  </mergeCells>
  <hyperlinks>
    <hyperlink ref="B2" location="Indhold!B57" display="Skema EU CCR6 – Eksponering for kreditderivater" xr:uid="{33282EF8-5373-4FE2-B74F-2742D86F7B51}"/>
  </hyperlinks>
  <pageMargins left="0.70866141732283472" right="0.70866141732283472" top="0.74803149606299213" bottom="0.74803149606299213" header="0.31496062992125984" footer="0.31496062992125984"/>
  <pageSetup paperSize="9" fitToWidth="0" fitToHeight="0" orientation="landscape" r:id="rId1"/>
  <headerFooter>
    <oddHeader>&amp;CDA
Bilag XXV</oddHead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794B8-B577-4BF1-ADE9-D7101BA09EF1}">
  <sheetPr>
    <tabColor rgb="FF0070C0"/>
    <pageSetUpPr fitToPage="1"/>
  </sheetPr>
  <dimension ref="B2:E26"/>
  <sheetViews>
    <sheetView showGridLines="0" zoomScaleNormal="100" workbookViewId="0">
      <selection activeCell="B2" sqref="B2"/>
    </sheetView>
  </sheetViews>
  <sheetFormatPr defaultColWidth="9.140625" defaultRowHeight="15" x14ac:dyDescent="0.25"/>
  <cols>
    <col min="1" max="2" width="9.140625" style="1"/>
    <col min="3" max="3" width="86.7109375" style="1" customWidth="1"/>
    <col min="4" max="4" width="16.85546875" style="1" customWidth="1"/>
    <col min="5" max="5" width="18.7109375" style="1" customWidth="1"/>
    <col min="6" max="16384" width="9.140625" style="1"/>
  </cols>
  <sheetData>
    <row r="2" spans="2:5" x14ac:dyDescent="0.25">
      <c r="B2" s="866" t="s">
        <v>974</v>
      </c>
    </row>
    <row r="3" spans="2:5" ht="15" customHeight="1" x14ac:dyDescent="0.25">
      <c r="B3" s="334" t="s">
        <v>902</v>
      </c>
    </row>
    <row r="4" spans="2:5" ht="15" customHeight="1" x14ac:dyDescent="0.25">
      <c r="B4" s="335"/>
      <c r="C4" s="336"/>
      <c r="D4" s="335"/>
      <c r="E4" s="335"/>
    </row>
    <row r="5" spans="2:5" ht="20.100000000000001" customHeight="1" x14ac:dyDescent="0.25">
      <c r="B5" s="825"/>
      <c r="C5" s="826"/>
      <c r="D5" s="829" t="s">
        <v>103</v>
      </c>
      <c r="E5" s="829" t="s">
        <v>102</v>
      </c>
    </row>
    <row r="6" spans="2:5" ht="30" customHeight="1" x14ac:dyDescent="0.25">
      <c r="B6" s="825"/>
      <c r="C6" s="826"/>
      <c r="D6" s="817" t="s">
        <v>975</v>
      </c>
      <c r="E6" s="817" t="s">
        <v>90</v>
      </c>
    </row>
    <row r="7" spans="2:5" ht="20.100000000000001" customHeight="1" x14ac:dyDescent="0.25">
      <c r="B7" s="333">
        <v>1</v>
      </c>
      <c r="C7" s="320" t="s">
        <v>976</v>
      </c>
      <c r="D7" s="827"/>
      <c r="E7" s="828">
        <v>0</v>
      </c>
    </row>
    <row r="8" spans="2:5" ht="29.25" customHeight="1" x14ac:dyDescent="0.25">
      <c r="B8" s="314">
        <v>2</v>
      </c>
      <c r="C8" s="316" t="s">
        <v>977</v>
      </c>
      <c r="D8" s="338">
        <v>0</v>
      </c>
      <c r="E8" s="338">
        <v>0</v>
      </c>
    </row>
    <row r="9" spans="2:5" ht="20.100000000000001" customHeight="1" x14ac:dyDescent="0.25">
      <c r="B9" s="314">
        <v>3</v>
      </c>
      <c r="C9" s="316" t="s">
        <v>978</v>
      </c>
      <c r="D9" s="338">
        <v>0</v>
      </c>
      <c r="E9" s="338">
        <v>0</v>
      </c>
    </row>
    <row r="10" spans="2:5" ht="20.100000000000001" customHeight="1" x14ac:dyDescent="0.25">
      <c r="B10" s="314">
        <v>4</v>
      </c>
      <c r="C10" s="316" t="s">
        <v>979</v>
      </c>
      <c r="D10" s="338">
        <v>0</v>
      </c>
      <c r="E10" s="338">
        <v>0</v>
      </c>
    </row>
    <row r="11" spans="2:5" ht="20.100000000000001" customHeight="1" x14ac:dyDescent="0.25">
      <c r="B11" s="314">
        <v>5</v>
      </c>
      <c r="C11" s="316" t="s">
        <v>980</v>
      </c>
      <c r="D11" s="338">
        <v>0</v>
      </c>
      <c r="E11" s="338">
        <v>0</v>
      </c>
    </row>
    <row r="12" spans="2:5" ht="20.100000000000001" customHeight="1" x14ac:dyDescent="0.25">
      <c r="B12" s="314">
        <v>6</v>
      </c>
      <c r="C12" s="316" t="s">
        <v>981</v>
      </c>
      <c r="D12" s="338">
        <v>0</v>
      </c>
      <c r="E12" s="338">
        <v>0</v>
      </c>
    </row>
    <row r="13" spans="2:5" ht="20.100000000000001" customHeight="1" x14ac:dyDescent="0.25">
      <c r="B13" s="314">
        <v>7</v>
      </c>
      <c r="C13" s="316" t="s">
        <v>982</v>
      </c>
      <c r="D13" s="338">
        <v>0</v>
      </c>
      <c r="E13" s="337"/>
    </row>
    <row r="14" spans="2:5" ht="20.100000000000001" customHeight="1" x14ac:dyDescent="0.25">
      <c r="B14" s="314">
        <v>8</v>
      </c>
      <c r="C14" s="316" t="s">
        <v>983</v>
      </c>
      <c r="D14" s="338">
        <v>0</v>
      </c>
      <c r="E14" s="338">
        <v>0</v>
      </c>
    </row>
    <row r="15" spans="2:5" ht="20.100000000000001" customHeight="1" x14ac:dyDescent="0.25">
      <c r="B15" s="314">
        <v>9</v>
      </c>
      <c r="C15" s="316" t="s">
        <v>984</v>
      </c>
      <c r="D15" s="338">
        <v>0</v>
      </c>
      <c r="E15" s="338">
        <v>0</v>
      </c>
    </row>
    <row r="16" spans="2:5" ht="20.100000000000001" customHeight="1" x14ac:dyDescent="0.25">
      <c r="B16" s="314">
        <v>10</v>
      </c>
      <c r="C16" s="316" t="s">
        <v>985</v>
      </c>
      <c r="D16" s="338">
        <v>0</v>
      </c>
      <c r="E16" s="338">
        <v>0</v>
      </c>
    </row>
    <row r="17" spans="2:5" ht="20.100000000000001" customHeight="1" x14ac:dyDescent="0.25">
      <c r="B17" s="333">
        <v>11</v>
      </c>
      <c r="C17" s="323" t="s">
        <v>986</v>
      </c>
      <c r="D17" s="337"/>
      <c r="E17" s="338">
        <v>0</v>
      </c>
    </row>
    <row r="18" spans="2:5" ht="32.25" customHeight="1" x14ac:dyDescent="0.25">
      <c r="B18" s="314">
        <v>12</v>
      </c>
      <c r="C18" s="316" t="s">
        <v>987</v>
      </c>
      <c r="D18" s="338">
        <v>0</v>
      </c>
      <c r="E18" s="338">
        <v>0</v>
      </c>
    </row>
    <row r="19" spans="2:5" ht="20.100000000000001" customHeight="1" x14ac:dyDescent="0.25">
      <c r="B19" s="314">
        <v>13</v>
      </c>
      <c r="C19" s="316" t="s">
        <v>978</v>
      </c>
      <c r="D19" s="338">
        <v>0</v>
      </c>
      <c r="E19" s="338">
        <v>0</v>
      </c>
    </row>
    <row r="20" spans="2:5" ht="20.100000000000001" customHeight="1" x14ac:dyDescent="0.25">
      <c r="B20" s="314">
        <v>14</v>
      </c>
      <c r="C20" s="316" t="s">
        <v>979</v>
      </c>
      <c r="D20" s="338">
        <v>0</v>
      </c>
      <c r="E20" s="338">
        <v>0</v>
      </c>
    </row>
    <row r="21" spans="2:5" ht="20.100000000000001" customHeight="1" x14ac:dyDescent="0.25">
      <c r="B21" s="314">
        <v>15</v>
      </c>
      <c r="C21" s="316" t="s">
        <v>980</v>
      </c>
      <c r="D21" s="338">
        <v>0</v>
      </c>
      <c r="E21" s="338">
        <v>0</v>
      </c>
    </row>
    <row r="22" spans="2:5" ht="20.100000000000001" customHeight="1" x14ac:dyDescent="0.25">
      <c r="B22" s="314">
        <v>16</v>
      </c>
      <c r="C22" s="316" t="s">
        <v>981</v>
      </c>
      <c r="D22" s="338">
        <v>0</v>
      </c>
      <c r="E22" s="338">
        <v>0</v>
      </c>
    </row>
    <row r="23" spans="2:5" ht="20.100000000000001" customHeight="1" x14ac:dyDescent="0.25">
      <c r="B23" s="314">
        <v>17</v>
      </c>
      <c r="C23" s="316" t="s">
        <v>982</v>
      </c>
      <c r="D23" s="338">
        <v>0</v>
      </c>
      <c r="E23" s="339"/>
    </row>
    <row r="24" spans="2:5" ht="20.100000000000001" customHeight="1" x14ac:dyDescent="0.25">
      <c r="B24" s="314">
        <v>18</v>
      </c>
      <c r="C24" s="316" t="s">
        <v>983</v>
      </c>
      <c r="D24" s="338">
        <v>0</v>
      </c>
      <c r="E24" s="338">
        <v>0</v>
      </c>
    </row>
    <row r="25" spans="2:5" ht="20.100000000000001" customHeight="1" x14ac:dyDescent="0.25">
      <c r="B25" s="314">
        <v>19</v>
      </c>
      <c r="C25" s="316" t="s">
        <v>984</v>
      </c>
      <c r="D25" s="338">
        <v>0</v>
      </c>
      <c r="E25" s="338">
        <v>0</v>
      </c>
    </row>
    <row r="26" spans="2:5" ht="20.100000000000001" customHeight="1" x14ac:dyDescent="0.25">
      <c r="B26" s="314">
        <v>20</v>
      </c>
      <c r="C26" s="316" t="s">
        <v>985</v>
      </c>
      <c r="D26" s="338">
        <v>0</v>
      </c>
      <c r="E26" s="338">
        <v>0</v>
      </c>
    </row>
  </sheetData>
  <hyperlinks>
    <hyperlink ref="B2" location="Indhold!B58" display="Skema EU CCR8 -Modpartskreditrisikoeksponeringer" xr:uid="{3ED92F64-36C0-47E9-9635-538FA00AB549}"/>
  </hyperlinks>
  <pageMargins left="0.70866141732283472" right="0.70866141732283472" top="0.74803149606299213" bottom="0.74803149606299213" header="0.31496062992125984" footer="0.31496062992125984"/>
  <pageSetup paperSize="9" scale="95" orientation="landscape" r:id="rId1"/>
  <headerFooter>
    <oddHeader>&amp;CDA 
Bilag XXV</oddHead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9EAEB-AACE-4B24-A84E-858B7B219B05}">
  <sheetPr>
    <tabColor rgb="FF0070C0"/>
    <pageSetUpPr fitToPage="1"/>
  </sheetPr>
  <dimension ref="B2:R21"/>
  <sheetViews>
    <sheetView showGridLines="0" zoomScaleNormal="100" workbookViewId="0">
      <selection activeCell="B2" sqref="B2"/>
    </sheetView>
  </sheetViews>
  <sheetFormatPr defaultColWidth="9.140625" defaultRowHeight="15" x14ac:dyDescent="0.25"/>
  <cols>
    <col min="2" max="2" width="5.140625" customWidth="1"/>
    <col min="3" max="3" width="27.140625" customWidth="1"/>
    <col min="4" max="4" width="12.28515625" customWidth="1"/>
    <col min="5" max="5" width="30" bestFit="1" customWidth="1"/>
    <col min="6" max="6" width="12.28515625" customWidth="1"/>
    <col min="7" max="7" width="30" bestFit="1" customWidth="1"/>
    <col min="8" max="8" width="12.28515625" customWidth="1"/>
    <col min="9" max="9" width="15.7109375" customWidth="1"/>
    <col min="10" max="18" width="12.28515625" customWidth="1"/>
  </cols>
  <sheetData>
    <row r="2" spans="2:18" ht="18.75" x14ac:dyDescent="0.3">
      <c r="B2" s="866" t="s">
        <v>1041</v>
      </c>
      <c r="D2" s="416"/>
      <c r="E2" s="416"/>
      <c r="F2" s="416"/>
      <c r="G2" s="416"/>
      <c r="H2" s="416"/>
      <c r="I2" s="416"/>
      <c r="J2" s="416"/>
      <c r="K2" s="416"/>
      <c r="L2" s="416"/>
      <c r="M2" s="416"/>
      <c r="N2" s="416"/>
      <c r="O2" s="416"/>
      <c r="P2" s="416"/>
      <c r="Q2" s="416"/>
      <c r="R2" s="416"/>
    </row>
    <row r="5" spans="2:18" x14ac:dyDescent="0.25">
      <c r="B5" s="830"/>
      <c r="C5" s="832"/>
      <c r="D5" s="814" t="s">
        <v>103</v>
      </c>
      <c r="E5" s="814" t="s">
        <v>102</v>
      </c>
      <c r="F5" s="814" t="s">
        <v>97</v>
      </c>
      <c r="G5" s="814" t="s">
        <v>96</v>
      </c>
      <c r="H5" s="814" t="s">
        <v>95</v>
      </c>
      <c r="I5" s="814" t="s">
        <v>111</v>
      </c>
      <c r="J5" s="814" t="s">
        <v>112</v>
      </c>
      <c r="K5" s="814" t="s">
        <v>164</v>
      </c>
      <c r="L5" s="814" t="s">
        <v>323</v>
      </c>
      <c r="M5" s="814" t="s">
        <v>324</v>
      </c>
      <c r="N5" s="814" t="s">
        <v>325</v>
      </c>
      <c r="O5" s="814" t="s">
        <v>326</v>
      </c>
      <c r="P5" s="814" t="s">
        <v>327</v>
      </c>
      <c r="Q5" s="814" t="s">
        <v>354</v>
      </c>
      <c r="R5" s="814" t="s">
        <v>570</v>
      </c>
    </row>
    <row r="6" spans="2:18" x14ac:dyDescent="0.25">
      <c r="B6" s="830"/>
      <c r="C6" s="832"/>
      <c r="D6" s="1168" t="s">
        <v>989</v>
      </c>
      <c r="E6" s="1169"/>
      <c r="F6" s="1169"/>
      <c r="G6" s="1169"/>
      <c r="H6" s="1169"/>
      <c r="I6" s="1169"/>
      <c r="J6" s="1170"/>
      <c r="K6" s="1061" t="s">
        <v>990</v>
      </c>
      <c r="L6" s="1061"/>
      <c r="M6" s="1061"/>
      <c r="N6" s="1061"/>
      <c r="O6" s="1061" t="s">
        <v>991</v>
      </c>
      <c r="P6" s="1061"/>
      <c r="Q6" s="1061"/>
      <c r="R6" s="1061"/>
    </row>
    <row r="7" spans="2:18" x14ac:dyDescent="0.25">
      <c r="B7" s="830"/>
      <c r="C7" s="832"/>
      <c r="D7" s="1171" t="s">
        <v>992</v>
      </c>
      <c r="E7" s="1172"/>
      <c r="F7" s="1172"/>
      <c r="G7" s="1173"/>
      <c r="H7" s="1174" t="s">
        <v>993</v>
      </c>
      <c r="I7" s="1175"/>
      <c r="J7" s="835" t="s">
        <v>994</v>
      </c>
      <c r="K7" s="1174" t="s">
        <v>992</v>
      </c>
      <c r="L7" s="1175"/>
      <c r="M7" s="1043" t="s">
        <v>993</v>
      </c>
      <c r="N7" s="835" t="s">
        <v>994</v>
      </c>
      <c r="O7" s="1174" t="s">
        <v>992</v>
      </c>
      <c r="P7" s="1175"/>
      <c r="Q7" s="1043" t="s">
        <v>993</v>
      </c>
      <c r="R7" s="1043" t="s">
        <v>994</v>
      </c>
    </row>
    <row r="8" spans="2:18" x14ac:dyDescent="0.25">
      <c r="B8" s="830"/>
      <c r="C8" s="832"/>
      <c r="D8" s="1177" t="s">
        <v>995</v>
      </c>
      <c r="E8" s="1178"/>
      <c r="F8" s="1179" t="s">
        <v>996</v>
      </c>
      <c r="G8" s="1174"/>
      <c r="H8" s="1180"/>
      <c r="I8" s="1182" t="s">
        <v>997</v>
      </c>
      <c r="J8" s="1176"/>
      <c r="K8" s="1043" t="s">
        <v>995</v>
      </c>
      <c r="L8" s="1184" t="s">
        <v>996</v>
      </c>
      <c r="M8" s="1176"/>
      <c r="N8" s="1176"/>
      <c r="O8" s="1043" t="s">
        <v>995</v>
      </c>
      <c r="P8" s="1184" t="s">
        <v>996</v>
      </c>
      <c r="Q8" s="1176"/>
      <c r="R8" s="1176"/>
    </row>
    <row r="9" spans="2:18" x14ac:dyDescent="0.25">
      <c r="B9" s="831"/>
      <c r="C9" s="831"/>
      <c r="D9" s="833"/>
      <c r="E9" s="814" t="s">
        <v>997</v>
      </c>
      <c r="F9" s="834"/>
      <c r="G9" s="814" t="s">
        <v>997</v>
      </c>
      <c r="H9" s="1181"/>
      <c r="I9" s="1183"/>
      <c r="J9" s="1044"/>
      <c r="K9" s="1044"/>
      <c r="L9" s="1185"/>
      <c r="M9" s="1044"/>
      <c r="N9" s="1044"/>
      <c r="O9" s="1044"/>
      <c r="P9" s="1185"/>
      <c r="Q9" s="1044"/>
      <c r="R9" s="1044"/>
    </row>
    <row r="10" spans="2:18" x14ac:dyDescent="0.25">
      <c r="B10" s="341">
        <v>1</v>
      </c>
      <c r="C10" s="342" t="s">
        <v>998</v>
      </c>
      <c r="D10" s="340"/>
      <c r="E10" s="340"/>
      <c r="F10" s="340"/>
      <c r="G10" s="340"/>
      <c r="H10" s="328"/>
      <c r="I10" s="328"/>
      <c r="J10" s="328"/>
      <c r="K10" s="328"/>
      <c r="L10" s="328"/>
      <c r="M10" s="328"/>
      <c r="N10" s="328"/>
      <c r="O10" s="328"/>
      <c r="P10" s="328"/>
      <c r="Q10" s="328"/>
      <c r="R10" s="328"/>
    </row>
    <row r="11" spans="2:18" x14ac:dyDescent="0.25">
      <c r="B11" s="132">
        <v>2</v>
      </c>
      <c r="C11" s="343" t="s">
        <v>999</v>
      </c>
      <c r="D11" s="305"/>
      <c r="E11" s="305"/>
      <c r="F11" s="305"/>
      <c r="G11" s="305"/>
      <c r="H11" s="305"/>
      <c r="I11" s="305"/>
      <c r="J11" s="305"/>
      <c r="K11" s="305"/>
      <c r="L11" s="305"/>
      <c r="M11" s="305"/>
      <c r="N11" s="305"/>
      <c r="O11" s="305"/>
      <c r="P11" s="305"/>
      <c r="Q11" s="305"/>
      <c r="R11" s="305"/>
    </row>
    <row r="12" spans="2:18" x14ac:dyDescent="0.25">
      <c r="B12" s="132">
        <v>3</v>
      </c>
      <c r="C12" s="344" t="s">
        <v>1000</v>
      </c>
      <c r="D12" s="344"/>
      <c r="E12" s="344"/>
      <c r="F12" s="344"/>
      <c r="G12" s="344"/>
      <c r="H12" s="344"/>
      <c r="I12" s="344"/>
      <c r="J12" s="344"/>
      <c r="K12" s="344"/>
      <c r="L12" s="344"/>
      <c r="M12" s="344"/>
      <c r="N12" s="344"/>
      <c r="O12" s="344"/>
      <c r="P12" s="344"/>
      <c r="Q12" s="344"/>
      <c r="R12" s="344"/>
    </row>
    <row r="13" spans="2:18" x14ac:dyDescent="0.25">
      <c r="B13" s="132">
        <v>4</v>
      </c>
      <c r="C13" s="344" t="s">
        <v>1001</v>
      </c>
      <c r="D13" s="344"/>
      <c r="E13" s="344"/>
      <c r="F13" s="344"/>
      <c r="G13" s="344"/>
      <c r="H13" s="344"/>
      <c r="I13" s="344"/>
      <c r="J13" s="344"/>
      <c r="K13" s="344"/>
      <c r="L13" s="344"/>
      <c r="M13" s="344"/>
      <c r="N13" s="344"/>
      <c r="O13" s="344"/>
      <c r="P13" s="344"/>
      <c r="Q13" s="344"/>
      <c r="R13" s="344"/>
    </row>
    <row r="14" spans="2:18" x14ac:dyDescent="0.25">
      <c r="B14" s="132">
        <v>5</v>
      </c>
      <c r="C14" s="344" t="s">
        <v>1002</v>
      </c>
      <c r="D14" s="344"/>
      <c r="E14" s="344"/>
      <c r="F14" s="344"/>
      <c r="G14" s="344"/>
      <c r="H14" s="344"/>
      <c r="I14" s="344"/>
      <c r="J14" s="344"/>
      <c r="K14" s="344"/>
      <c r="L14" s="344"/>
      <c r="M14" s="344"/>
      <c r="N14" s="344"/>
      <c r="O14" s="344"/>
      <c r="P14" s="344"/>
      <c r="Q14" s="344"/>
      <c r="R14" s="344"/>
    </row>
    <row r="15" spans="2:18" x14ac:dyDescent="0.25">
      <c r="B15" s="132">
        <v>6</v>
      </c>
      <c r="C15" s="344" t="s">
        <v>1003</v>
      </c>
      <c r="D15" s="344"/>
      <c r="E15" s="344"/>
      <c r="F15" s="344"/>
      <c r="G15" s="344"/>
      <c r="H15" s="344"/>
      <c r="I15" s="344"/>
      <c r="J15" s="344"/>
      <c r="K15" s="344"/>
      <c r="L15" s="344"/>
      <c r="M15" s="344"/>
      <c r="N15" s="344"/>
      <c r="O15" s="344"/>
      <c r="P15" s="344"/>
      <c r="Q15" s="344"/>
      <c r="R15" s="344"/>
    </row>
    <row r="16" spans="2:18" x14ac:dyDescent="0.25">
      <c r="B16" s="132">
        <v>7</v>
      </c>
      <c r="C16" s="345" t="s">
        <v>1004</v>
      </c>
      <c r="D16" s="305"/>
      <c r="E16" s="305"/>
      <c r="F16" s="305"/>
      <c r="G16" s="305"/>
      <c r="H16" s="305"/>
      <c r="I16" s="305"/>
      <c r="J16" s="305"/>
      <c r="K16" s="305"/>
      <c r="L16" s="305"/>
      <c r="M16" s="305"/>
      <c r="N16" s="305"/>
      <c r="O16" s="305"/>
      <c r="P16" s="305"/>
      <c r="Q16" s="305"/>
      <c r="R16" s="305"/>
    </row>
    <row r="17" spans="2:18" x14ac:dyDescent="0.25">
      <c r="B17" s="132">
        <v>8</v>
      </c>
      <c r="C17" s="344" t="s">
        <v>1005</v>
      </c>
      <c r="D17" s="344"/>
      <c r="E17" s="344"/>
      <c r="F17" s="344"/>
      <c r="G17" s="344"/>
      <c r="H17" s="344"/>
      <c r="I17" s="344"/>
      <c r="J17" s="344"/>
      <c r="K17" s="344"/>
      <c r="L17" s="344"/>
      <c r="M17" s="344"/>
      <c r="N17" s="344"/>
      <c r="O17" s="344"/>
      <c r="P17" s="344"/>
      <c r="Q17" s="344"/>
      <c r="R17" s="344"/>
    </row>
    <row r="18" spans="2:18" x14ac:dyDescent="0.25">
      <c r="B18" s="132">
        <v>9</v>
      </c>
      <c r="C18" s="344" t="s">
        <v>1006</v>
      </c>
      <c r="D18" s="344"/>
      <c r="E18" s="344"/>
      <c r="F18" s="344"/>
      <c r="G18" s="344"/>
      <c r="H18" s="344"/>
      <c r="I18" s="344"/>
      <c r="J18" s="344"/>
      <c r="K18" s="344"/>
      <c r="L18" s="344"/>
      <c r="M18" s="344"/>
      <c r="N18" s="344"/>
      <c r="O18" s="344"/>
      <c r="P18" s="344"/>
      <c r="Q18" s="344"/>
      <c r="R18" s="344"/>
    </row>
    <row r="19" spans="2:18" x14ac:dyDescent="0.25">
      <c r="B19" s="132">
        <v>10</v>
      </c>
      <c r="C19" s="344" t="s">
        <v>1007</v>
      </c>
      <c r="D19" s="344"/>
      <c r="E19" s="344"/>
      <c r="F19" s="344"/>
      <c r="G19" s="344"/>
      <c r="H19" s="344"/>
      <c r="I19" s="344"/>
      <c r="J19" s="344"/>
      <c r="K19" s="344"/>
      <c r="L19" s="344"/>
      <c r="M19" s="344"/>
      <c r="N19" s="344"/>
      <c r="O19" s="344"/>
      <c r="P19" s="344"/>
      <c r="Q19" s="344"/>
      <c r="R19" s="344"/>
    </row>
    <row r="20" spans="2:18" x14ac:dyDescent="0.25">
      <c r="B20" s="132">
        <v>11</v>
      </c>
      <c r="C20" s="344" t="s">
        <v>1008</v>
      </c>
      <c r="D20" s="344"/>
      <c r="E20" s="344"/>
      <c r="F20" s="344"/>
      <c r="G20" s="344"/>
      <c r="H20" s="344"/>
      <c r="I20" s="344"/>
      <c r="J20" s="344"/>
      <c r="K20" s="344"/>
      <c r="L20" s="344"/>
      <c r="M20" s="344"/>
      <c r="N20" s="344"/>
      <c r="O20" s="344"/>
      <c r="P20" s="344"/>
      <c r="Q20" s="344"/>
      <c r="R20" s="344"/>
    </row>
    <row r="21" spans="2:18" x14ac:dyDescent="0.25">
      <c r="B21" s="132">
        <v>12</v>
      </c>
      <c r="C21" s="344" t="s">
        <v>1003</v>
      </c>
      <c r="D21" s="344"/>
      <c r="E21" s="344"/>
      <c r="F21" s="344"/>
      <c r="G21" s="344"/>
      <c r="H21" s="344"/>
      <c r="I21" s="344"/>
      <c r="J21" s="344"/>
      <c r="K21" s="344"/>
      <c r="L21" s="344"/>
      <c r="M21" s="344"/>
      <c r="N21" s="344"/>
      <c r="O21" s="344"/>
      <c r="P21" s="344"/>
      <c r="Q21" s="344"/>
      <c r="R21" s="344"/>
    </row>
  </sheetData>
  <mergeCells count="20">
    <mergeCell ref="N8:N9"/>
    <mergeCell ref="O8:O9"/>
    <mergeCell ref="P8:P9"/>
    <mergeCell ref="K8:K9"/>
    <mergeCell ref="D6:J6"/>
    <mergeCell ref="K6:N6"/>
    <mergeCell ref="O6:R6"/>
    <mergeCell ref="D7:G7"/>
    <mergeCell ref="H7:I7"/>
    <mergeCell ref="K7:L7"/>
    <mergeCell ref="M7:M9"/>
    <mergeCell ref="O7:P7"/>
    <mergeCell ref="Q7:Q9"/>
    <mergeCell ref="D8:E8"/>
    <mergeCell ref="F8:G8"/>
    <mergeCell ref="H8:H9"/>
    <mergeCell ref="I8:I9"/>
    <mergeCell ref="J8:J9"/>
    <mergeCell ref="R7:R9"/>
    <mergeCell ref="L8:L9"/>
  </mergeCells>
  <hyperlinks>
    <hyperlink ref="B2:R2" location="Indhold!B64" display="Skema EU-SEC1 - Securitiseringseksponeringer uden for handelsbeholdningen" xr:uid="{163C9AEF-714C-472D-A1F3-83180AEE01B9}"/>
    <hyperlink ref="B2" location="Indhold!B59" display="Skema EU-SEC1 - Securitiseringseksponeringer uden for handelsbeholdningen" xr:uid="{C84C1701-E71E-4EB8-B440-E26A095C9FAB}"/>
  </hyperlinks>
  <pageMargins left="0.70866141732283472" right="0.70866141732283472" top="0.74803149606299213" bottom="0.74803149606299213" header="0.31496062992125984" footer="0.31496062992125984"/>
  <pageSetup paperSize="9" scale="60" orientation="landscape" cellComments="asDisplayed" r:id="rId1"/>
  <headerFooter>
    <oddHeader>&amp;CDA
Bilag XXVII</oddHeader>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61C8F-5239-4033-BD32-332F63B642C4}">
  <sheetPr>
    <tabColor rgb="FF0070C0"/>
    <pageSetUpPr fitToPage="1"/>
  </sheetPr>
  <dimension ref="B2:R20"/>
  <sheetViews>
    <sheetView showGridLines="0" zoomScaleNormal="100" workbookViewId="0">
      <selection activeCell="B2" sqref="B2"/>
    </sheetView>
  </sheetViews>
  <sheetFormatPr defaultColWidth="9.140625" defaultRowHeight="15" x14ac:dyDescent="0.25"/>
  <cols>
    <col min="2" max="2" width="5.28515625" customWidth="1"/>
    <col min="3" max="3" width="27.140625" customWidth="1"/>
    <col min="4" max="7" width="13.7109375" customWidth="1"/>
    <col min="8" max="13" width="12.28515625" customWidth="1"/>
    <col min="14" max="14" width="15.85546875" customWidth="1"/>
  </cols>
  <sheetData>
    <row r="2" spans="2:18" ht="18.75" x14ac:dyDescent="0.3">
      <c r="B2" s="866" t="s">
        <v>1009</v>
      </c>
      <c r="D2" s="416"/>
      <c r="E2" s="416"/>
      <c r="F2" s="416"/>
      <c r="G2" s="416"/>
      <c r="H2" s="416"/>
      <c r="I2" s="416"/>
      <c r="J2" s="416"/>
      <c r="K2" s="416"/>
      <c r="L2" s="416"/>
      <c r="M2" s="416"/>
      <c r="N2" s="416"/>
      <c r="O2" s="416"/>
      <c r="P2" s="416"/>
      <c r="Q2" s="416"/>
      <c r="R2" s="416"/>
    </row>
    <row r="5" spans="2:18" x14ac:dyDescent="0.25">
      <c r="B5" s="830"/>
      <c r="C5" s="832"/>
      <c r="D5" s="814" t="s">
        <v>103</v>
      </c>
      <c r="E5" s="814" t="s">
        <v>102</v>
      </c>
      <c r="F5" s="814" t="s">
        <v>97</v>
      </c>
      <c r="G5" s="814" t="s">
        <v>96</v>
      </c>
      <c r="H5" s="814" t="s">
        <v>95</v>
      </c>
      <c r="I5" s="814" t="s">
        <v>111</v>
      </c>
      <c r="J5" s="814" t="s">
        <v>112</v>
      </c>
      <c r="K5" s="814" t="s">
        <v>164</v>
      </c>
      <c r="L5" s="814" t="s">
        <v>323</v>
      </c>
      <c r="M5" s="814" t="s">
        <v>324</v>
      </c>
      <c r="N5" s="814" t="s">
        <v>325</v>
      </c>
      <c r="O5" s="814" t="s">
        <v>326</v>
      </c>
    </row>
    <row r="6" spans="2:18" x14ac:dyDescent="0.25">
      <c r="B6" s="830"/>
      <c r="C6" s="832"/>
      <c r="D6" s="1061" t="s">
        <v>989</v>
      </c>
      <c r="E6" s="1061"/>
      <c r="F6" s="1061"/>
      <c r="G6" s="1061"/>
      <c r="H6" s="1061" t="s">
        <v>990</v>
      </c>
      <c r="I6" s="1061"/>
      <c r="J6" s="1061"/>
      <c r="K6" s="1061"/>
      <c r="L6" s="1061" t="s">
        <v>991</v>
      </c>
      <c r="M6" s="1061"/>
      <c r="N6" s="1061"/>
      <c r="O6" s="1061"/>
    </row>
    <row r="7" spans="2:18" x14ac:dyDescent="0.25">
      <c r="B7" s="830"/>
      <c r="C7" s="832"/>
      <c r="D7" s="1171" t="s">
        <v>992</v>
      </c>
      <c r="E7" s="1173"/>
      <c r="F7" s="1043" t="s">
        <v>993</v>
      </c>
      <c r="G7" s="1043" t="s">
        <v>994</v>
      </c>
      <c r="H7" s="1174" t="s">
        <v>992</v>
      </c>
      <c r="I7" s="1175"/>
      <c r="J7" s="1043" t="s">
        <v>993</v>
      </c>
      <c r="K7" s="1043" t="s">
        <v>994</v>
      </c>
      <c r="L7" s="1174" t="s">
        <v>992</v>
      </c>
      <c r="M7" s="1175"/>
      <c r="N7" s="1043" t="s">
        <v>993</v>
      </c>
      <c r="O7" s="1043" t="s">
        <v>994</v>
      </c>
    </row>
    <row r="8" spans="2:18" x14ac:dyDescent="0.25">
      <c r="B8" s="831"/>
      <c r="C8" s="831"/>
      <c r="D8" s="814" t="s">
        <v>995</v>
      </c>
      <c r="E8" s="838" t="s">
        <v>996</v>
      </c>
      <c r="F8" s="1044"/>
      <c r="G8" s="1044"/>
      <c r="H8" s="809" t="s">
        <v>995</v>
      </c>
      <c r="I8" s="839" t="s">
        <v>996</v>
      </c>
      <c r="J8" s="1176"/>
      <c r="K8" s="1176"/>
      <c r="L8" s="809" t="s">
        <v>995</v>
      </c>
      <c r="M8" s="839" t="s">
        <v>996</v>
      </c>
      <c r="N8" s="1176"/>
      <c r="O8" s="1176"/>
    </row>
    <row r="9" spans="2:18" x14ac:dyDescent="0.25">
      <c r="B9" s="341">
        <v>1</v>
      </c>
      <c r="C9" s="342" t="s">
        <v>998</v>
      </c>
      <c r="D9" s="837"/>
      <c r="E9" s="837"/>
      <c r="F9" s="328"/>
      <c r="G9" s="811"/>
      <c r="H9" s="811"/>
      <c r="I9" s="811"/>
      <c r="J9" s="328"/>
      <c r="K9" s="811"/>
      <c r="L9" s="811"/>
      <c r="M9" s="811"/>
      <c r="N9" s="328"/>
      <c r="O9" s="811"/>
    </row>
    <row r="10" spans="2:18" x14ac:dyDescent="0.25">
      <c r="B10" s="132">
        <v>2</v>
      </c>
      <c r="C10" s="346" t="s">
        <v>999</v>
      </c>
      <c r="D10" s="305"/>
      <c r="E10" s="305"/>
      <c r="F10" s="305"/>
      <c r="G10" s="305"/>
      <c r="H10" s="305"/>
      <c r="I10" s="305"/>
      <c r="J10" s="305"/>
      <c r="K10" s="305"/>
      <c r="L10" s="305"/>
      <c r="M10" s="305"/>
      <c r="N10" s="305"/>
      <c r="O10" s="305"/>
    </row>
    <row r="11" spans="2:18" x14ac:dyDescent="0.25">
      <c r="B11" s="132">
        <v>3</v>
      </c>
      <c r="C11" s="347" t="s">
        <v>1000</v>
      </c>
      <c r="D11" s="344"/>
      <c r="E11" s="344"/>
      <c r="F11" s="344"/>
      <c r="G11" s="344"/>
      <c r="H11" s="344"/>
      <c r="I11" s="344"/>
      <c r="J11" s="344"/>
      <c r="K11" s="344"/>
      <c r="L11" s="344"/>
      <c r="M11" s="344"/>
      <c r="N11" s="344"/>
      <c r="O11" s="344"/>
    </row>
    <row r="12" spans="2:18" x14ac:dyDescent="0.25">
      <c r="B12" s="132">
        <v>4</v>
      </c>
      <c r="C12" s="347" t="s">
        <v>1001</v>
      </c>
      <c r="D12" s="344"/>
      <c r="E12" s="344"/>
      <c r="F12" s="344"/>
      <c r="G12" s="344"/>
      <c r="H12" s="344"/>
      <c r="I12" s="344"/>
      <c r="J12" s="344"/>
      <c r="K12" s="344"/>
      <c r="L12" s="344"/>
      <c r="M12" s="344"/>
      <c r="N12" s="344"/>
      <c r="O12" s="344"/>
    </row>
    <row r="13" spans="2:18" x14ac:dyDescent="0.25">
      <c r="B13" s="132">
        <v>5</v>
      </c>
      <c r="C13" s="347" t="s">
        <v>1002</v>
      </c>
      <c r="D13" s="344"/>
      <c r="E13" s="344"/>
      <c r="F13" s="344"/>
      <c r="G13" s="344"/>
      <c r="H13" s="344"/>
      <c r="I13" s="344"/>
      <c r="J13" s="344"/>
      <c r="K13" s="344"/>
      <c r="L13" s="344"/>
      <c r="M13" s="344"/>
      <c r="N13" s="344"/>
      <c r="O13" s="344"/>
    </row>
    <row r="14" spans="2:18" x14ac:dyDescent="0.25">
      <c r="B14" s="132">
        <v>6</v>
      </c>
      <c r="C14" s="347" t="s">
        <v>1003</v>
      </c>
      <c r="D14" s="344"/>
      <c r="E14" s="344"/>
      <c r="F14" s="344"/>
      <c r="G14" s="344"/>
      <c r="H14" s="344"/>
      <c r="I14" s="344"/>
      <c r="J14" s="344"/>
      <c r="K14" s="344"/>
      <c r="L14" s="344"/>
      <c r="M14" s="344"/>
      <c r="N14" s="344"/>
      <c r="O14" s="344"/>
    </row>
    <row r="15" spans="2:18" ht="15.75" customHeight="1" x14ac:dyDescent="0.25">
      <c r="B15" s="132">
        <v>7</v>
      </c>
      <c r="C15" s="346" t="s">
        <v>1004</v>
      </c>
      <c r="D15" s="305"/>
      <c r="E15" s="305"/>
      <c r="F15" s="305"/>
      <c r="G15" s="305"/>
      <c r="H15" s="305"/>
      <c r="I15" s="305"/>
      <c r="J15" s="305"/>
      <c r="K15" s="305"/>
      <c r="L15" s="305"/>
      <c r="M15" s="305"/>
      <c r="N15" s="305"/>
      <c r="O15" s="305"/>
    </row>
    <row r="16" spans="2:18" x14ac:dyDescent="0.25">
      <c r="B16" s="132">
        <v>8</v>
      </c>
      <c r="C16" s="347" t="s">
        <v>1005</v>
      </c>
      <c r="D16" s="344"/>
      <c r="E16" s="344"/>
      <c r="F16" s="344"/>
      <c r="G16" s="344"/>
      <c r="H16" s="344"/>
      <c r="I16" s="344"/>
      <c r="J16" s="344"/>
      <c r="K16" s="344"/>
      <c r="L16" s="344"/>
      <c r="M16" s="344"/>
      <c r="N16" s="344"/>
      <c r="O16" s="344"/>
    </row>
    <row r="17" spans="2:15" x14ac:dyDescent="0.25">
      <c r="B17" s="132">
        <v>9</v>
      </c>
      <c r="C17" s="347" t="s">
        <v>1006</v>
      </c>
      <c r="D17" s="344"/>
      <c r="E17" s="344"/>
      <c r="F17" s="344"/>
      <c r="G17" s="344"/>
      <c r="H17" s="344"/>
      <c r="I17" s="344"/>
      <c r="J17" s="344"/>
      <c r="K17" s="344"/>
      <c r="L17" s="344"/>
      <c r="M17" s="344"/>
      <c r="N17" s="344"/>
      <c r="O17" s="344"/>
    </row>
    <row r="18" spans="2:15" x14ac:dyDescent="0.25">
      <c r="B18" s="132">
        <v>10</v>
      </c>
      <c r="C18" s="347" t="s">
        <v>1007</v>
      </c>
      <c r="D18" s="344"/>
      <c r="E18" s="344"/>
      <c r="F18" s="344"/>
      <c r="G18" s="344"/>
      <c r="H18" s="344"/>
      <c r="I18" s="344"/>
      <c r="J18" s="344"/>
      <c r="K18" s="344"/>
      <c r="L18" s="344"/>
      <c r="M18" s="344"/>
      <c r="N18" s="344"/>
      <c r="O18" s="344"/>
    </row>
    <row r="19" spans="2:15" x14ac:dyDescent="0.25">
      <c r="B19" s="132">
        <v>11</v>
      </c>
      <c r="C19" s="347" t="s">
        <v>1008</v>
      </c>
      <c r="D19" s="344"/>
      <c r="E19" s="344"/>
      <c r="F19" s="344"/>
      <c r="G19" s="344"/>
      <c r="H19" s="344"/>
      <c r="I19" s="344"/>
      <c r="J19" s="344"/>
      <c r="K19" s="344"/>
      <c r="L19" s="344"/>
      <c r="M19" s="344"/>
      <c r="N19" s="344"/>
      <c r="O19" s="344"/>
    </row>
    <row r="20" spans="2:15" x14ac:dyDescent="0.25">
      <c r="B20" s="132">
        <v>12</v>
      </c>
      <c r="C20" s="347" t="s">
        <v>1003</v>
      </c>
      <c r="D20" s="344"/>
      <c r="E20" s="344"/>
      <c r="F20" s="344"/>
      <c r="G20" s="344"/>
      <c r="H20" s="344"/>
      <c r="I20" s="344"/>
      <c r="J20" s="344"/>
      <c r="K20" s="344"/>
      <c r="L20" s="344"/>
      <c r="M20" s="344"/>
      <c r="N20" s="344"/>
      <c r="O20" s="344"/>
    </row>
  </sheetData>
  <mergeCells count="12">
    <mergeCell ref="D6:G6"/>
    <mergeCell ref="H6:K6"/>
    <mergeCell ref="L6:O6"/>
    <mergeCell ref="D7:E7"/>
    <mergeCell ref="F7:F8"/>
    <mergeCell ref="H7:I7"/>
    <mergeCell ref="J7:J8"/>
    <mergeCell ref="L7:M7"/>
    <mergeCell ref="N7:N8"/>
    <mergeCell ref="K7:K8"/>
    <mergeCell ref="O7:O8"/>
    <mergeCell ref="G7:G8"/>
  </mergeCells>
  <hyperlinks>
    <hyperlink ref="B2" location="Indhold!B60" display="Skema EU-SEC2 - Securitiseringseksponeringer i handelsbeholdningen" xr:uid="{79BDBEEB-D0A7-4D63-83FC-7D9F49351177}"/>
  </hyperlinks>
  <pageMargins left="0.70866141732283472" right="0.70866141732283472" top="0.74803149606299213" bottom="0.74803149606299213" header="0.31496062992125984" footer="0.31496062992125984"/>
  <pageSetup paperSize="9" scale="72" orientation="landscape" cellComments="asDisplayed" verticalDpi="598" r:id="rId1"/>
  <headerFooter>
    <oddHeader>&amp;CDA
Bilag XXVII</oddHeader>
    <oddFooter>&amp;C&amp;P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A3CA4-A059-48D8-A12B-2CB2535DAD44}">
  <sheetPr>
    <tabColor rgb="FF0070C0"/>
    <pageSetUpPr fitToPage="1"/>
  </sheetPr>
  <dimension ref="B2:U22"/>
  <sheetViews>
    <sheetView showGridLines="0" zoomScaleNormal="100" zoomScalePageLayoutView="70" workbookViewId="0">
      <selection activeCell="B2" sqref="B2"/>
    </sheetView>
  </sheetViews>
  <sheetFormatPr defaultColWidth="9.140625" defaultRowHeight="15" x14ac:dyDescent="0.25"/>
  <cols>
    <col min="2" max="2" width="5.140625" customWidth="1"/>
    <col min="3" max="4" width="13.7109375" customWidth="1"/>
    <col min="5" max="9" width="13.42578125" customWidth="1"/>
    <col min="10" max="13" width="15.42578125" customWidth="1"/>
    <col min="14" max="17" width="17.28515625" customWidth="1"/>
    <col min="18" max="21" width="13.42578125" customWidth="1"/>
  </cols>
  <sheetData>
    <row r="2" spans="2:21" ht="18.75" x14ac:dyDescent="0.3">
      <c r="B2" s="866" t="s">
        <v>1010</v>
      </c>
      <c r="D2" s="416"/>
      <c r="E2" s="416"/>
      <c r="F2" s="416"/>
      <c r="G2" s="416"/>
      <c r="H2" s="416"/>
      <c r="I2" s="416"/>
      <c r="J2" s="416"/>
      <c r="K2" s="416"/>
      <c r="L2" s="416"/>
      <c r="M2" s="416"/>
      <c r="N2" s="416"/>
      <c r="O2" s="416"/>
      <c r="P2" s="416"/>
      <c r="Q2" s="416"/>
      <c r="R2" s="416"/>
    </row>
    <row r="3" spans="2:21" ht="15" customHeight="1" x14ac:dyDescent="0.3">
      <c r="C3" s="348"/>
      <c r="D3" s="349"/>
      <c r="E3" s="349"/>
      <c r="F3" s="349"/>
      <c r="G3" s="349"/>
      <c r="H3" s="349"/>
      <c r="I3" s="349"/>
      <c r="J3" s="349"/>
      <c r="K3" s="349"/>
      <c r="L3" s="349"/>
      <c r="M3" s="51"/>
      <c r="N3" s="51"/>
    </row>
    <row r="4" spans="2:21" ht="15" customHeight="1" x14ac:dyDescent="0.25"/>
    <row r="5" spans="2:21" x14ac:dyDescent="0.25">
      <c r="B5" s="438"/>
      <c r="C5" s="438"/>
      <c r="D5" s="438"/>
      <c r="E5" s="814" t="s">
        <v>103</v>
      </c>
      <c r="F5" s="814" t="s">
        <v>102</v>
      </c>
      <c r="G5" s="814" t="s">
        <v>97</v>
      </c>
      <c r="H5" s="814" t="s">
        <v>96</v>
      </c>
      <c r="I5" s="814" t="s">
        <v>95</v>
      </c>
      <c r="J5" s="814" t="s">
        <v>111</v>
      </c>
      <c r="K5" s="814" t="s">
        <v>112</v>
      </c>
      <c r="L5" s="814" t="s">
        <v>164</v>
      </c>
      <c r="M5" s="814" t="s">
        <v>323</v>
      </c>
      <c r="N5" s="814" t="s">
        <v>324</v>
      </c>
      <c r="O5" s="814" t="s">
        <v>325</v>
      </c>
      <c r="P5" s="814" t="s">
        <v>326</v>
      </c>
      <c r="Q5" s="814" t="s">
        <v>327</v>
      </c>
      <c r="R5" s="814" t="s">
        <v>354</v>
      </c>
      <c r="S5" s="814" t="s">
        <v>570</v>
      </c>
      <c r="T5" s="814" t="s">
        <v>1011</v>
      </c>
      <c r="U5" s="814" t="s">
        <v>1012</v>
      </c>
    </row>
    <row r="6" spans="2:21" x14ac:dyDescent="0.25">
      <c r="B6" s="438"/>
      <c r="C6" s="438"/>
      <c r="D6" s="438"/>
      <c r="E6" s="1187" t="s">
        <v>1013</v>
      </c>
      <c r="F6" s="1061"/>
      <c r="G6" s="1061"/>
      <c r="H6" s="1061"/>
      <c r="I6" s="1061"/>
      <c r="J6" s="1061" t="s">
        <v>1014</v>
      </c>
      <c r="K6" s="1061"/>
      <c r="L6" s="1061"/>
      <c r="M6" s="1061"/>
      <c r="N6" s="1061" t="s">
        <v>1015</v>
      </c>
      <c r="O6" s="1061"/>
      <c r="P6" s="1061"/>
      <c r="Q6" s="1061"/>
      <c r="R6" s="1061" t="s">
        <v>1016</v>
      </c>
      <c r="S6" s="1061"/>
      <c r="T6" s="1061"/>
      <c r="U6" s="1061"/>
    </row>
    <row r="7" spans="2:21" s="88" customFormat="1" ht="45" x14ac:dyDescent="0.25">
      <c r="B7" s="830"/>
      <c r="C7" s="830"/>
      <c r="D7" s="830"/>
      <c r="E7" s="565" t="s">
        <v>1017</v>
      </c>
      <c r="F7" s="565" t="s">
        <v>1018</v>
      </c>
      <c r="G7" s="565" t="s">
        <v>1019</v>
      </c>
      <c r="H7" s="565" t="s">
        <v>1020</v>
      </c>
      <c r="I7" s="565" t="s">
        <v>1021</v>
      </c>
      <c r="J7" s="565" t="s">
        <v>1022</v>
      </c>
      <c r="K7" s="565" t="s">
        <v>1023</v>
      </c>
      <c r="L7" s="565" t="s">
        <v>1024</v>
      </c>
      <c r="M7" s="841" t="s">
        <v>1021</v>
      </c>
      <c r="N7" s="565" t="s">
        <v>1022</v>
      </c>
      <c r="O7" s="565" t="s">
        <v>1023</v>
      </c>
      <c r="P7" s="565" t="s">
        <v>1024</v>
      </c>
      <c r="Q7" s="841" t="s">
        <v>1025</v>
      </c>
      <c r="R7" s="565" t="s">
        <v>1022</v>
      </c>
      <c r="S7" s="565" t="s">
        <v>1023</v>
      </c>
      <c r="T7" s="565" t="s">
        <v>1024</v>
      </c>
      <c r="U7" s="841" t="s">
        <v>1025</v>
      </c>
    </row>
    <row r="8" spans="2:21" x14ac:dyDescent="0.25">
      <c r="B8" s="350">
        <v>1</v>
      </c>
      <c r="C8" s="1188" t="s">
        <v>998</v>
      </c>
      <c r="D8" s="1188"/>
      <c r="E8" s="840"/>
      <c r="F8" s="840"/>
      <c r="G8" s="840"/>
      <c r="H8" s="840"/>
      <c r="I8" s="840"/>
      <c r="J8" s="840"/>
      <c r="K8" s="840"/>
      <c r="L8" s="840"/>
      <c r="M8" s="840"/>
      <c r="N8" s="840"/>
      <c r="O8" s="840"/>
      <c r="P8" s="840"/>
      <c r="Q8" s="840"/>
      <c r="R8" s="840"/>
      <c r="S8" s="840"/>
      <c r="T8" s="840"/>
      <c r="U8" s="840"/>
    </row>
    <row r="9" spans="2:21" x14ac:dyDescent="0.25">
      <c r="B9" s="305">
        <v>2</v>
      </c>
      <c r="C9" s="1186" t="s">
        <v>1026</v>
      </c>
      <c r="D9" s="1186"/>
      <c r="E9" s="344"/>
      <c r="F9" s="344"/>
      <c r="G9" s="344"/>
      <c r="H9" s="344"/>
      <c r="I9" s="344"/>
      <c r="J9" s="344"/>
      <c r="K9" s="344"/>
      <c r="L9" s="344"/>
      <c r="M9" s="344"/>
      <c r="N9" s="344"/>
      <c r="O9" s="344"/>
      <c r="P9" s="344"/>
      <c r="Q9" s="344"/>
      <c r="R9" s="344"/>
      <c r="S9" s="344"/>
      <c r="T9" s="344"/>
      <c r="U9" s="344"/>
    </row>
    <row r="10" spans="2:21" x14ac:dyDescent="0.25">
      <c r="B10" s="305">
        <v>3</v>
      </c>
      <c r="C10" s="1186" t="s">
        <v>1027</v>
      </c>
      <c r="D10" s="1186"/>
      <c r="E10" s="344"/>
      <c r="F10" s="344"/>
      <c r="G10" s="344"/>
      <c r="H10" s="344"/>
      <c r="I10" s="344"/>
      <c r="J10" s="344"/>
      <c r="K10" s="344"/>
      <c r="L10" s="344"/>
      <c r="M10" s="344"/>
      <c r="N10" s="344"/>
      <c r="O10" s="344"/>
      <c r="P10" s="344"/>
      <c r="Q10" s="344"/>
      <c r="R10" s="344"/>
      <c r="S10" s="344"/>
      <c r="T10" s="344"/>
      <c r="U10" s="344"/>
    </row>
    <row r="11" spans="2:21" x14ac:dyDescent="0.25">
      <c r="B11" s="305">
        <v>4</v>
      </c>
      <c r="C11" s="1186" t="s">
        <v>1028</v>
      </c>
      <c r="D11" s="1186"/>
      <c r="E11" s="344"/>
      <c r="F11" s="344"/>
      <c r="G11" s="344"/>
      <c r="H11" s="344"/>
      <c r="I11" s="344"/>
      <c r="J11" s="344"/>
      <c r="K11" s="344"/>
      <c r="L11" s="344"/>
      <c r="M11" s="344"/>
      <c r="N11" s="344"/>
      <c r="O11" s="344"/>
      <c r="P11" s="344"/>
      <c r="Q11" s="344"/>
      <c r="R11" s="344"/>
      <c r="S11" s="344"/>
      <c r="T11" s="344"/>
      <c r="U11" s="344"/>
    </row>
    <row r="12" spans="2:21" x14ac:dyDescent="0.25">
      <c r="B12" s="305">
        <v>5</v>
      </c>
      <c r="C12" s="1189" t="s">
        <v>1029</v>
      </c>
      <c r="D12" s="1189"/>
      <c r="E12" s="344"/>
      <c r="F12" s="344"/>
      <c r="G12" s="344"/>
      <c r="H12" s="344"/>
      <c r="I12" s="344"/>
      <c r="J12" s="344"/>
      <c r="K12" s="344"/>
      <c r="L12" s="344"/>
      <c r="M12" s="344"/>
      <c r="N12" s="344"/>
      <c r="O12" s="344"/>
      <c r="P12" s="344"/>
      <c r="Q12" s="344"/>
      <c r="R12" s="344"/>
      <c r="S12" s="344"/>
      <c r="T12" s="344"/>
      <c r="U12" s="344"/>
    </row>
    <row r="13" spans="2:21" x14ac:dyDescent="0.25">
      <c r="B13" s="305">
        <v>6</v>
      </c>
      <c r="C13" s="1186" t="s">
        <v>1030</v>
      </c>
      <c r="D13" s="1186"/>
      <c r="E13" s="344"/>
      <c r="F13" s="344"/>
      <c r="G13" s="344"/>
      <c r="H13" s="344"/>
      <c r="I13" s="344"/>
      <c r="J13" s="344"/>
      <c r="K13" s="344"/>
      <c r="L13" s="344"/>
      <c r="M13" s="344"/>
      <c r="N13" s="344"/>
      <c r="O13" s="344"/>
      <c r="P13" s="344"/>
      <c r="Q13" s="344"/>
      <c r="R13" s="344"/>
      <c r="S13" s="344"/>
      <c r="T13" s="344"/>
      <c r="U13" s="344"/>
    </row>
    <row r="14" spans="2:21" x14ac:dyDescent="0.25">
      <c r="B14" s="305">
        <v>7</v>
      </c>
      <c r="C14" s="1189" t="s">
        <v>1029</v>
      </c>
      <c r="D14" s="1189"/>
      <c r="E14" s="344"/>
      <c r="F14" s="344"/>
      <c r="G14" s="344"/>
      <c r="H14" s="344"/>
      <c r="I14" s="344"/>
      <c r="J14" s="344"/>
      <c r="K14" s="344"/>
      <c r="L14" s="344"/>
      <c r="M14" s="344"/>
      <c r="N14" s="344"/>
      <c r="O14" s="344"/>
      <c r="P14" s="344"/>
      <c r="Q14" s="344"/>
      <c r="R14" s="344"/>
      <c r="S14" s="344"/>
      <c r="T14" s="344"/>
      <c r="U14" s="344"/>
    </row>
    <row r="15" spans="2:21" x14ac:dyDescent="0.25">
      <c r="B15" s="305">
        <v>8</v>
      </c>
      <c r="C15" s="1186" t="s">
        <v>1031</v>
      </c>
      <c r="D15" s="1186"/>
      <c r="E15" s="344"/>
      <c r="F15" s="344"/>
      <c r="G15" s="344"/>
      <c r="H15" s="344"/>
      <c r="I15" s="344"/>
      <c r="J15" s="344"/>
      <c r="K15" s="344"/>
      <c r="L15" s="344"/>
      <c r="M15" s="344"/>
      <c r="N15" s="344"/>
      <c r="O15" s="344"/>
      <c r="P15" s="344"/>
      <c r="Q15" s="344"/>
      <c r="R15" s="344"/>
      <c r="S15" s="344"/>
      <c r="T15" s="344"/>
      <c r="U15" s="344"/>
    </row>
    <row r="16" spans="2:21" x14ac:dyDescent="0.25">
      <c r="B16" s="305">
        <v>9</v>
      </c>
      <c r="C16" s="1186" t="s">
        <v>1032</v>
      </c>
      <c r="D16" s="1186"/>
      <c r="E16" s="344"/>
      <c r="F16" s="344"/>
      <c r="G16" s="344"/>
      <c r="H16" s="344"/>
      <c r="I16" s="344"/>
      <c r="J16" s="344"/>
      <c r="K16" s="344"/>
      <c r="L16" s="344"/>
      <c r="M16" s="344"/>
      <c r="N16" s="344"/>
      <c r="O16" s="344"/>
      <c r="P16" s="344"/>
      <c r="Q16" s="344"/>
      <c r="R16" s="344"/>
      <c r="S16" s="344"/>
      <c r="T16" s="344"/>
      <c r="U16" s="344"/>
    </row>
    <row r="17" spans="2:21" x14ac:dyDescent="0.25">
      <c r="B17" s="305">
        <v>10</v>
      </c>
      <c r="C17" s="1186" t="s">
        <v>1027</v>
      </c>
      <c r="D17" s="1186"/>
      <c r="E17" s="344"/>
      <c r="F17" s="344"/>
      <c r="G17" s="344"/>
      <c r="H17" s="344"/>
      <c r="I17" s="344"/>
      <c r="J17" s="344"/>
      <c r="K17" s="344"/>
      <c r="L17" s="344"/>
      <c r="M17" s="344"/>
      <c r="N17" s="344"/>
      <c r="O17" s="344"/>
      <c r="P17" s="344"/>
      <c r="Q17" s="344"/>
      <c r="R17" s="344"/>
      <c r="S17" s="344"/>
      <c r="T17" s="344"/>
      <c r="U17" s="344"/>
    </row>
    <row r="18" spans="2:21" x14ac:dyDescent="0.25">
      <c r="B18" s="305">
        <v>11</v>
      </c>
      <c r="C18" s="1186" t="s">
        <v>1033</v>
      </c>
      <c r="D18" s="1186"/>
      <c r="E18" s="344"/>
      <c r="F18" s="344"/>
      <c r="G18" s="344"/>
      <c r="H18" s="344"/>
      <c r="I18" s="344"/>
      <c r="J18" s="344"/>
      <c r="K18" s="344"/>
      <c r="L18" s="344"/>
      <c r="M18" s="344"/>
      <c r="N18" s="344"/>
      <c r="O18" s="344"/>
      <c r="P18" s="344"/>
      <c r="Q18" s="344"/>
      <c r="R18" s="344"/>
      <c r="S18" s="344"/>
      <c r="T18" s="344"/>
      <c r="U18" s="344"/>
    </row>
    <row r="19" spans="2:21" x14ac:dyDescent="0.25">
      <c r="B19" s="305">
        <v>12</v>
      </c>
      <c r="C19" s="1186" t="s">
        <v>1030</v>
      </c>
      <c r="D19" s="1186"/>
      <c r="E19" s="344"/>
      <c r="F19" s="344"/>
      <c r="G19" s="344"/>
      <c r="H19" s="344"/>
      <c r="I19" s="344"/>
      <c r="J19" s="344"/>
      <c r="K19" s="344"/>
      <c r="L19" s="344"/>
      <c r="M19" s="344"/>
      <c r="N19" s="344"/>
      <c r="O19" s="344"/>
      <c r="P19" s="344"/>
      <c r="Q19" s="344"/>
      <c r="R19" s="344"/>
      <c r="S19" s="344"/>
      <c r="T19" s="344"/>
      <c r="U19" s="344"/>
    </row>
    <row r="20" spans="2:21" x14ac:dyDescent="0.25">
      <c r="B20" s="305">
        <v>13</v>
      </c>
      <c r="C20" s="1186" t="s">
        <v>1031</v>
      </c>
      <c r="D20" s="1186"/>
      <c r="E20" s="344"/>
      <c r="F20" s="344"/>
      <c r="G20" s="344"/>
      <c r="H20" s="344"/>
      <c r="I20" s="344"/>
      <c r="J20" s="344"/>
      <c r="K20" s="344"/>
      <c r="L20" s="344"/>
      <c r="M20" s="344"/>
      <c r="N20" s="344"/>
      <c r="O20" s="344"/>
      <c r="P20" s="344"/>
      <c r="Q20" s="344"/>
      <c r="R20" s="344"/>
      <c r="S20" s="344"/>
      <c r="T20" s="344"/>
      <c r="U20" s="344"/>
    </row>
    <row r="22" spans="2:21" ht="13.5" customHeight="1" x14ac:dyDescent="0.25"/>
  </sheetData>
  <mergeCells count="17">
    <mergeCell ref="C15:D15"/>
    <mergeCell ref="E6:I6"/>
    <mergeCell ref="J6:M6"/>
    <mergeCell ref="N6:Q6"/>
    <mergeCell ref="R6:U6"/>
    <mergeCell ref="C8:D8"/>
    <mergeCell ref="C9:D9"/>
    <mergeCell ref="C10:D10"/>
    <mergeCell ref="C11:D11"/>
    <mergeCell ref="C12:D12"/>
    <mergeCell ref="C13:D13"/>
    <mergeCell ref="C14:D14"/>
    <mergeCell ref="C16:D16"/>
    <mergeCell ref="C17:D17"/>
    <mergeCell ref="C18:D18"/>
    <mergeCell ref="C19:D19"/>
    <mergeCell ref="C20:D20"/>
  </mergeCells>
  <hyperlinks>
    <hyperlink ref="B2" location="Indhold!B61" display="Skema EU-SEC3 - Securitiseringseksponeringer uden for handelsbeholdningen og tilknyttede lovbestemte kapitalkrav - instituttet optræder som eksponeringsleverende eller organiserende institut" xr:uid="{28FFB980-4295-4DCD-BCC8-AA22DAA31312}"/>
  </hyperlinks>
  <pageMargins left="0.70866141732283472" right="0.70866141732283472" top="0.74803149606299213" bottom="0.74803149606299213" header="0.31496062992125984" footer="0.31496062992125984"/>
  <pageSetup paperSize="9" scale="50" orientation="landscape" cellComments="asDisplayed" r:id="rId1"/>
  <headerFooter>
    <oddHeader>&amp;CDA
Bilag XXVII</oddHeader>
    <oddFooter>&amp;C&amp;P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38EEB-6B23-4F30-B145-B3104025A3EA}">
  <sheetPr>
    <tabColor rgb="FF0070C0"/>
    <pageSetUpPr fitToPage="1"/>
  </sheetPr>
  <dimension ref="B2:U20"/>
  <sheetViews>
    <sheetView showGridLines="0" zoomScaleNormal="100" zoomScalePageLayoutView="80" workbookViewId="0">
      <selection activeCell="B2" sqref="B2"/>
    </sheetView>
  </sheetViews>
  <sheetFormatPr defaultColWidth="9.140625" defaultRowHeight="15" x14ac:dyDescent="0.25"/>
  <cols>
    <col min="2" max="2" width="4.5703125" customWidth="1"/>
    <col min="3" max="4" width="13.7109375" customWidth="1"/>
    <col min="5" max="21" width="13.42578125" customWidth="1"/>
  </cols>
  <sheetData>
    <row r="2" spans="2:21" ht="18.75" x14ac:dyDescent="0.3">
      <c r="B2" s="866" t="s">
        <v>1034</v>
      </c>
      <c r="D2" s="416"/>
      <c r="E2" s="416"/>
      <c r="F2" s="416"/>
      <c r="G2" s="416"/>
      <c r="H2" s="416"/>
      <c r="I2" s="416"/>
      <c r="J2" s="416"/>
      <c r="K2" s="416"/>
      <c r="L2" s="416"/>
      <c r="M2" s="416"/>
      <c r="N2" s="416"/>
      <c r="O2" s="416"/>
      <c r="P2" s="416"/>
      <c r="Q2" s="416"/>
      <c r="R2" s="416"/>
    </row>
    <row r="3" spans="2:21" ht="15" customHeight="1" x14ac:dyDescent="0.25"/>
    <row r="4" spans="2:21" ht="15" customHeight="1" x14ac:dyDescent="0.25"/>
    <row r="5" spans="2:21" x14ac:dyDescent="0.25">
      <c r="B5" s="438"/>
      <c r="C5" s="438"/>
      <c r="D5" s="842"/>
      <c r="E5" s="813" t="s">
        <v>103</v>
      </c>
      <c r="F5" s="813" t="s">
        <v>102</v>
      </c>
      <c r="G5" s="813" t="s">
        <v>97</v>
      </c>
      <c r="H5" s="813" t="s">
        <v>96</v>
      </c>
      <c r="I5" s="813" t="s">
        <v>95</v>
      </c>
      <c r="J5" s="813" t="s">
        <v>111</v>
      </c>
      <c r="K5" s="813" t="s">
        <v>112</v>
      </c>
      <c r="L5" s="813" t="s">
        <v>164</v>
      </c>
      <c r="M5" s="813" t="s">
        <v>323</v>
      </c>
      <c r="N5" s="813" t="s">
        <v>324</v>
      </c>
      <c r="O5" s="813" t="s">
        <v>325</v>
      </c>
      <c r="P5" s="813" t="s">
        <v>326</v>
      </c>
      <c r="Q5" s="813" t="s">
        <v>327</v>
      </c>
      <c r="R5" s="813" t="s">
        <v>354</v>
      </c>
      <c r="S5" s="813" t="s">
        <v>570</v>
      </c>
      <c r="T5" s="813" t="s">
        <v>1011</v>
      </c>
      <c r="U5" s="813" t="s">
        <v>1012</v>
      </c>
    </row>
    <row r="6" spans="2:21" ht="15" customHeight="1" x14ac:dyDescent="0.25">
      <c r="B6" s="438"/>
      <c r="C6" s="438"/>
      <c r="D6" s="842"/>
      <c r="E6" s="1187" t="s">
        <v>1013</v>
      </c>
      <c r="F6" s="1061"/>
      <c r="G6" s="1061"/>
      <c r="H6" s="1061"/>
      <c r="I6" s="1061"/>
      <c r="J6" s="1061" t="s">
        <v>1014</v>
      </c>
      <c r="K6" s="1061"/>
      <c r="L6" s="1061"/>
      <c r="M6" s="1061"/>
      <c r="N6" s="1061" t="s">
        <v>1015</v>
      </c>
      <c r="O6" s="1061"/>
      <c r="P6" s="1061"/>
      <c r="Q6" s="1061"/>
      <c r="R6" s="1061" t="s">
        <v>1016</v>
      </c>
      <c r="S6" s="1061"/>
      <c r="T6" s="1061"/>
      <c r="U6" s="1061"/>
    </row>
    <row r="7" spans="2:21" s="88" customFormat="1" ht="45" x14ac:dyDescent="0.25">
      <c r="B7" s="843"/>
      <c r="C7" s="843"/>
      <c r="D7" s="843"/>
      <c r="E7" s="810" t="s">
        <v>1017</v>
      </c>
      <c r="F7" s="810" t="s">
        <v>1018</v>
      </c>
      <c r="G7" s="810" t="s">
        <v>1019</v>
      </c>
      <c r="H7" s="810" t="s">
        <v>1020</v>
      </c>
      <c r="I7" s="810" t="s">
        <v>1021</v>
      </c>
      <c r="J7" s="810" t="s">
        <v>1022</v>
      </c>
      <c r="K7" s="810" t="s">
        <v>1023</v>
      </c>
      <c r="L7" s="810" t="s">
        <v>1024</v>
      </c>
      <c r="M7" s="844" t="s">
        <v>1021</v>
      </c>
      <c r="N7" s="810" t="s">
        <v>1022</v>
      </c>
      <c r="O7" s="810" t="s">
        <v>1023</v>
      </c>
      <c r="P7" s="810" t="s">
        <v>1024</v>
      </c>
      <c r="Q7" s="844" t="s">
        <v>1021</v>
      </c>
      <c r="R7" s="810" t="s">
        <v>1022</v>
      </c>
      <c r="S7" s="810" t="s">
        <v>1023</v>
      </c>
      <c r="T7" s="810" t="s">
        <v>1024</v>
      </c>
      <c r="U7" s="844" t="s">
        <v>1021</v>
      </c>
    </row>
    <row r="8" spans="2:21" x14ac:dyDescent="0.25">
      <c r="B8" s="350">
        <v>1</v>
      </c>
      <c r="C8" s="1188" t="s">
        <v>998</v>
      </c>
      <c r="D8" s="1188"/>
      <c r="E8" s="840"/>
      <c r="F8" s="840"/>
      <c r="G8" s="840"/>
      <c r="H8" s="840"/>
      <c r="I8" s="840"/>
      <c r="J8" s="840"/>
      <c r="K8" s="840"/>
      <c r="L8" s="840"/>
      <c r="M8" s="840"/>
      <c r="N8" s="840"/>
      <c r="O8" s="840"/>
      <c r="P8" s="840"/>
      <c r="Q8" s="840"/>
      <c r="R8" s="840"/>
      <c r="S8" s="840"/>
      <c r="T8" s="840"/>
      <c r="U8" s="840"/>
    </row>
    <row r="9" spans="2:21" x14ac:dyDescent="0.25">
      <c r="B9" s="305">
        <v>2</v>
      </c>
      <c r="C9" s="1186" t="s">
        <v>1035</v>
      </c>
      <c r="D9" s="1186"/>
      <c r="E9" s="344"/>
      <c r="F9" s="344"/>
      <c r="G9" s="344"/>
      <c r="H9" s="344"/>
      <c r="I9" s="344"/>
      <c r="J9" s="344"/>
      <c r="K9" s="344"/>
      <c r="L9" s="344"/>
      <c r="M9" s="344"/>
      <c r="N9" s="344"/>
      <c r="O9" s="344"/>
      <c r="P9" s="344"/>
      <c r="Q9" s="344"/>
      <c r="R9" s="344"/>
      <c r="S9" s="344"/>
      <c r="T9" s="344"/>
      <c r="U9" s="344"/>
    </row>
    <row r="10" spans="2:21" x14ac:dyDescent="0.25">
      <c r="B10" s="305">
        <v>3</v>
      </c>
      <c r="C10" s="1186" t="s">
        <v>1027</v>
      </c>
      <c r="D10" s="1186"/>
      <c r="E10" s="344"/>
      <c r="F10" s="344"/>
      <c r="G10" s="344"/>
      <c r="H10" s="344"/>
      <c r="I10" s="344"/>
      <c r="J10" s="344"/>
      <c r="K10" s="344"/>
      <c r="L10" s="344"/>
      <c r="M10" s="344"/>
      <c r="N10" s="344"/>
      <c r="O10" s="344"/>
      <c r="P10" s="344"/>
      <c r="Q10" s="344"/>
      <c r="R10" s="344"/>
      <c r="S10" s="344"/>
      <c r="T10" s="344"/>
      <c r="U10" s="344"/>
    </row>
    <row r="11" spans="2:21" x14ac:dyDescent="0.25">
      <c r="B11" s="305">
        <v>4</v>
      </c>
      <c r="C11" s="1186" t="s">
        <v>1033</v>
      </c>
      <c r="D11" s="1186"/>
      <c r="E11" s="344"/>
      <c r="F11" s="344"/>
      <c r="G11" s="344"/>
      <c r="H11" s="344"/>
      <c r="I11" s="344"/>
      <c r="J11" s="344"/>
      <c r="K11" s="344"/>
      <c r="L11" s="344"/>
      <c r="M11" s="344"/>
      <c r="N11" s="344"/>
      <c r="O11" s="344"/>
      <c r="P11" s="344"/>
      <c r="Q11" s="344"/>
      <c r="R11" s="344"/>
      <c r="S11" s="344"/>
      <c r="T11" s="344"/>
      <c r="U11" s="344"/>
    </row>
    <row r="12" spans="2:21" x14ac:dyDescent="0.25">
      <c r="B12" s="305">
        <v>5</v>
      </c>
      <c r="C12" s="1189" t="s">
        <v>1029</v>
      </c>
      <c r="D12" s="1189"/>
      <c r="E12" s="344"/>
      <c r="F12" s="344"/>
      <c r="G12" s="344"/>
      <c r="H12" s="344"/>
      <c r="I12" s="344"/>
      <c r="J12" s="344"/>
      <c r="K12" s="344"/>
      <c r="L12" s="344"/>
      <c r="M12" s="344"/>
      <c r="N12" s="344"/>
      <c r="O12" s="344"/>
      <c r="P12" s="344"/>
      <c r="Q12" s="344"/>
      <c r="R12" s="344"/>
      <c r="S12" s="344"/>
      <c r="T12" s="344"/>
      <c r="U12" s="344"/>
    </row>
    <row r="13" spans="2:21" x14ac:dyDescent="0.25">
      <c r="B13" s="305">
        <v>6</v>
      </c>
      <c r="C13" s="1186" t="s">
        <v>1030</v>
      </c>
      <c r="D13" s="1186"/>
      <c r="E13" s="344"/>
      <c r="F13" s="344"/>
      <c r="G13" s="344"/>
      <c r="H13" s="344"/>
      <c r="I13" s="344"/>
      <c r="J13" s="344"/>
      <c r="K13" s="344"/>
      <c r="L13" s="344"/>
      <c r="M13" s="344"/>
      <c r="N13" s="344"/>
      <c r="O13" s="344"/>
      <c r="P13" s="344"/>
      <c r="Q13" s="344"/>
      <c r="R13" s="344"/>
      <c r="S13" s="344"/>
      <c r="T13" s="344"/>
      <c r="U13" s="344"/>
    </row>
    <row r="14" spans="2:21" x14ac:dyDescent="0.25">
      <c r="B14" s="305">
        <v>7</v>
      </c>
      <c r="C14" s="1189" t="s">
        <v>1029</v>
      </c>
      <c r="D14" s="1189"/>
      <c r="E14" s="344"/>
      <c r="F14" s="344"/>
      <c r="G14" s="344"/>
      <c r="H14" s="344"/>
      <c r="I14" s="344"/>
      <c r="J14" s="344"/>
      <c r="K14" s="344"/>
      <c r="L14" s="344"/>
      <c r="M14" s="344"/>
      <c r="N14" s="344"/>
      <c r="O14" s="344"/>
      <c r="P14" s="344"/>
      <c r="Q14" s="344"/>
      <c r="R14" s="344"/>
      <c r="S14" s="344"/>
      <c r="T14" s="344"/>
      <c r="U14" s="344"/>
    </row>
    <row r="15" spans="2:21" x14ac:dyDescent="0.25">
      <c r="B15" s="305">
        <v>8</v>
      </c>
      <c r="C15" s="1186" t="s">
        <v>1031</v>
      </c>
      <c r="D15" s="1186"/>
      <c r="E15" s="344"/>
      <c r="F15" s="344"/>
      <c r="G15" s="344"/>
      <c r="H15" s="344"/>
      <c r="I15" s="344"/>
      <c r="J15" s="344"/>
      <c r="K15" s="344"/>
      <c r="L15" s="344"/>
      <c r="M15" s="344"/>
      <c r="N15" s="344"/>
      <c r="O15" s="344"/>
      <c r="P15" s="344"/>
      <c r="Q15" s="344"/>
      <c r="R15" s="344"/>
      <c r="S15" s="344"/>
      <c r="T15" s="344"/>
      <c r="U15" s="344"/>
    </row>
    <row r="16" spans="2:21" x14ac:dyDescent="0.25">
      <c r="B16" s="305">
        <v>9</v>
      </c>
      <c r="C16" s="1186" t="s">
        <v>1036</v>
      </c>
      <c r="D16" s="1186"/>
      <c r="E16" s="344"/>
      <c r="F16" s="344"/>
      <c r="G16" s="344"/>
      <c r="H16" s="344"/>
      <c r="I16" s="344"/>
      <c r="J16" s="344"/>
      <c r="K16" s="344"/>
      <c r="L16" s="344"/>
      <c r="M16" s="344"/>
      <c r="N16" s="344"/>
      <c r="O16" s="344"/>
      <c r="P16" s="344"/>
      <c r="Q16" s="344"/>
      <c r="R16" s="344"/>
      <c r="S16" s="344"/>
      <c r="T16" s="344"/>
      <c r="U16" s="344"/>
    </row>
    <row r="17" spans="2:21" x14ac:dyDescent="0.25">
      <c r="B17" s="305">
        <v>10</v>
      </c>
      <c r="C17" s="1186" t="s">
        <v>1027</v>
      </c>
      <c r="D17" s="1186"/>
      <c r="E17" s="344"/>
      <c r="F17" s="344"/>
      <c r="G17" s="344"/>
      <c r="H17" s="344"/>
      <c r="I17" s="344"/>
      <c r="J17" s="344"/>
      <c r="K17" s="344"/>
      <c r="L17" s="344"/>
      <c r="M17" s="344"/>
      <c r="N17" s="344"/>
      <c r="O17" s="344"/>
      <c r="P17" s="344"/>
      <c r="Q17" s="344"/>
      <c r="R17" s="344"/>
      <c r="S17" s="344"/>
      <c r="T17" s="344"/>
      <c r="U17" s="344"/>
    </row>
    <row r="18" spans="2:21" x14ac:dyDescent="0.25">
      <c r="B18" s="305">
        <v>11</v>
      </c>
      <c r="C18" s="1186" t="s">
        <v>1033</v>
      </c>
      <c r="D18" s="1186"/>
      <c r="E18" s="344"/>
      <c r="F18" s="344"/>
      <c r="G18" s="344"/>
      <c r="H18" s="344"/>
      <c r="I18" s="344"/>
      <c r="J18" s="344"/>
      <c r="K18" s="344"/>
      <c r="L18" s="344"/>
      <c r="M18" s="344"/>
      <c r="N18" s="344"/>
      <c r="O18" s="344"/>
      <c r="P18" s="344"/>
      <c r="Q18" s="344"/>
      <c r="R18" s="344"/>
      <c r="S18" s="344"/>
      <c r="T18" s="344"/>
      <c r="U18" s="344"/>
    </row>
    <row r="19" spans="2:21" x14ac:dyDescent="0.25">
      <c r="B19" s="305">
        <v>12</v>
      </c>
      <c r="C19" s="1186" t="s">
        <v>1030</v>
      </c>
      <c r="D19" s="1186"/>
      <c r="E19" s="344"/>
      <c r="F19" s="344"/>
      <c r="G19" s="344"/>
      <c r="H19" s="344"/>
      <c r="I19" s="344"/>
      <c r="J19" s="344"/>
      <c r="K19" s="344"/>
      <c r="L19" s="344"/>
      <c r="M19" s="344"/>
      <c r="N19" s="344"/>
      <c r="O19" s="344"/>
      <c r="P19" s="344"/>
      <c r="Q19" s="344"/>
      <c r="R19" s="344"/>
      <c r="S19" s="344"/>
      <c r="T19" s="344"/>
      <c r="U19" s="344"/>
    </row>
    <row r="20" spans="2:21" x14ac:dyDescent="0.25">
      <c r="B20" s="305">
        <v>13</v>
      </c>
      <c r="C20" s="1186" t="s">
        <v>1031</v>
      </c>
      <c r="D20" s="1186"/>
      <c r="E20" s="344"/>
      <c r="F20" s="344"/>
      <c r="G20" s="344"/>
      <c r="H20" s="344"/>
      <c r="I20" s="344"/>
      <c r="J20" s="344"/>
      <c r="K20" s="344"/>
      <c r="L20" s="344"/>
      <c r="M20" s="344"/>
      <c r="N20" s="344"/>
      <c r="O20" s="344"/>
      <c r="P20" s="344"/>
      <c r="Q20" s="344"/>
      <c r="R20" s="344"/>
      <c r="S20" s="344"/>
      <c r="T20" s="344"/>
      <c r="U20" s="344"/>
    </row>
  </sheetData>
  <mergeCells count="17">
    <mergeCell ref="C15:D15"/>
    <mergeCell ref="E6:I6"/>
    <mergeCell ref="J6:M6"/>
    <mergeCell ref="N6:Q6"/>
    <mergeCell ref="R6:U6"/>
    <mergeCell ref="C8:D8"/>
    <mergeCell ref="C9:D9"/>
    <mergeCell ref="C10:D10"/>
    <mergeCell ref="C11:D11"/>
    <mergeCell ref="C12:D12"/>
    <mergeCell ref="C13:D13"/>
    <mergeCell ref="C14:D14"/>
    <mergeCell ref="C16:D16"/>
    <mergeCell ref="C17:D17"/>
    <mergeCell ref="C18:D18"/>
    <mergeCell ref="C19:D19"/>
    <mergeCell ref="C20:D20"/>
  </mergeCells>
  <hyperlinks>
    <hyperlink ref="B2" location="Indhold!B62" display="Skema EU-SEC4 - Securitiseringseksponeringer uden for handelsbeholdningen og tilknyttede lovpligtige kapitalkrav - instituttet optræder som investorinstitut" xr:uid="{ED76C27C-9091-4AD9-A6FF-CED17AD65594}"/>
  </hyperlinks>
  <pageMargins left="0.70866141732283472" right="0.70866141732283472" top="0.74803149606299213" bottom="0.74803149606299213" header="0.31496062992125984" footer="0.31496062992125984"/>
  <pageSetup paperSize="9" scale="50" orientation="landscape" cellComments="asDisplayed" r:id="rId1"/>
  <headerFooter>
    <oddHeader>&amp;CDA
Bilag XXVII</oddHeader>
    <oddFooter>&amp;C&amp;P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68A19-0A69-47EB-A590-6218E457092C}">
  <sheetPr>
    <tabColor rgb="FF0070C0"/>
    <pageSetUpPr fitToPage="1"/>
  </sheetPr>
  <dimension ref="B2:R20"/>
  <sheetViews>
    <sheetView showGridLines="0" zoomScaleNormal="100" workbookViewId="0">
      <selection activeCell="B2" sqref="B2"/>
    </sheetView>
  </sheetViews>
  <sheetFormatPr defaultColWidth="9.140625" defaultRowHeight="15" x14ac:dyDescent="0.25"/>
  <cols>
    <col min="2" max="2" width="5.7109375" customWidth="1"/>
    <col min="3" max="3" width="27.140625" customWidth="1"/>
    <col min="4" max="4" width="33.140625" customWidth="1"/>
    <col min="5" max="5" width="31.42578125" bestFit="1" customWidth="1"/>
    <col min="6" max="6" width="73.140625" bestFit="1" customWidth="1"/>
  </cols>
  <sheetData>
    <row r="2" spans="2:18" ht="18.75" x14ac:dyDescent="0.3">
      <c r="B2" s="866" t="s">
        <v>1037</v>
      </c>
      <c r="D2" s="416"/>
      <c r="E2" s="416"/>
      <c r="F2" s="416"/>
      <c r="G2" s="416"/>
      <c r="H2" s="416"/>
      <c r="I2" s="416"/>
      <c r="J2" s="416"/>
      <c r="K2" s="416"/>
      <c r="L2" s="416"/>
      <c r="M2" s="416"/>
      <c r="N2" s="416"/>
      <c r="O2" s="416"/>
      <c r="P2" s="416"/>
      <c r="Q2" s="416"/>
      <c r="R2" s="416"/>
    </row>
    <row r="3" spans="2:18" x14ac:dyDescent="0.25">
      <c r="C3" s="351"/>
      <c r="D3" s="351"/>
      <c r="E3" s="351"/>
      <c r="F3" s="351"/>
    </row>
    <row r="5" spans="2:18" x14ac:dyDescent="0.25">
      <c r="B5" s="830"/>
      <c r="C5" s="830"/>
      <c r="D5" s="814" t="s">
        <v>103</v>
      </c>
      <c r="E5" s="814" t="s">
        <v>102</v>
      </c>
      <c r="F5" s="814" t="s">
        <v>97</v>
      </c>
    </row>
    <row r="6" spans="2:18" x14ac:dyDescent="0.25">
      <c r="B6" s="830"/>
      <c r="C6" s="830"/>
      <c r="D6" s="1061" t="s">
        <v>1038</v>
      </c>
      <c r="E6" s="1061"/>
      <c r="F6" s="1061"/>
    </row>
    <row r="7" spans="2:18" x14ac:dyDescent="0.25">
      <c r="B7" s="830"/>
      <c r="C7" s="830"/>
      <c r="D7" s="1190" t="s">
        <v>1039</v>
      </c>
      <c r="E7" s="1175"/>
      <c r="F7" s="1043" t="s">
        <v>1040</v>
      </c>
    </row>
    <row r="8" spans="2:18" x14ac:dyDescent="0.25">
      <c r="B8" s="830"/>
      <c r="C8" s="830"/>
      <c r="D8" s="845"/>
      <c r="E8" s="838" t="s">
        <v>660</v>
      </c>
      <c r="F8" s="1176"/>
    </row>
    <row r="9" spans="2:18" x14ac:dyDescent="0.25">
      <c r="B9" s="341">
        <v>1</v>
      </c>
      <c r="C9" s="342" t="s">
        <v>998</v>
      </c>
      <c r="D9" s="305"/>
      <c r="E9" s="340"/>
      <c r="F9" s="836"/>
    </row>
    <row r="10" spans="2:18" x14ac:dyDescent="0.25">
      <c r="B10" s="132">
        <v>2</v>
      </c>
      <c r="C10" s="345" t="s">
        <v>999</v>
      </c>
      <c r="D10" s="305"/>
      <c r="E10" s="305"/>
      <c r="F10" s="305"/>
    </row>
    <row r="11" spans="2:18" x14ac:dyDescent="0.25">
      <c r="B11" s="132">
        <v>3</v>
      </c>
      <c r="C11" s="344" t="s">
        <v>1000</v>
      </c>
      <c r="D11" s="344"/>
      <c r="E11" s="344"/>
      <c r="F11" s="344"/>
    </row>
    <row r="12" spans="2:18" x14ac:dyDescent="0.25">
      <c r="B12" s="132">
        <v>4</v>
      </c>
      <c r="C12" s="344" t="s">
        <v>1001</v>
      </c>
      <c r="D12" s="344"/>
      <c r="E12" s="344"/>
      <c r="F12" s="344"/>
    </row>
    <row r="13" spans="2:18" x14ac:dyDescent="0.25">
      <c r="B13" s="132">
        <v>5</v>
      </c>
      <c r="C13" s="344" t="s">
        <v>1002</v>
      </c>
      <c r="D13" s="344"/>
      <c r="E13" s="344"/>
      <c r="F13" s="344"/>
    </row>
    <row r="14" spans="2:18" x14ac:dyDescent="0.25">
      <c r="B14" s="132">
        <v>6</v>
      </c>
      <c r="C14" s="344" t="s">
        <v>1003</v>
      </c>
      <c r="D14" s="344"/>
      <c r="E14" s="344"/>
      <c r="F14" s="344"/>
    </row>
    <row r="15" spans="2:18" x14ac:dyDescent="0.25">
      <c r="B15" s="132">
        <v>7</v>
      </c>
      <c r="C15" s="345" t="s">
        <v>1004</v>
      </c>
      <c r="D15" s="305"/>
      <c r="E15" s="305"/>
      <c r="F15" s="305"/>
    </row>
    <row r="16" spans="2:18" x14ac:dyDescent="0.25">
      <c r="B16" s="132">
        <v>8</v>
      </c>
      <c r="C16" s="344" t="s">
        <v>1005</v>
      </c>
      <c r="D16" s="344"/>
      <c r="E16" s="344"/>
      <c r="F16" s="344"/>
    </row>
    <row r="17" spans="2:6" x14ac:dyDescent="0.25">
      <c r="B17" s="132">
        <v>9</v>
      </c>
      <c r="C17" s="344" t="s">
        <v>1006</v>
      </c>
      <c r="D17" s="344"/>
      <c r="E17" s="344"/>
      <c r="F17" s="344"/>
    </row>
    <row r="18" spans="2:6" x14ac:dyDescent="0.25">
      <c r="B18" s="132">
        <v>10</v>
      </c>
      <c r="C18" s="344" t="s">
        <v>1007</v>
      </c>
      <c r="D18" s="344"/>
      <c r="E18" s="344"/>
      <c r="F18" s="344"/>
    </row>
    <row r="19" spans="2:6" x14ac:dyDescent="0.25">
      <c r="B19" s="132">
        <v>11</v>
      </c>
      <c r="C19" s="344" t="s">
        <v>1008</v>
      </c>
      <c r="D19" s="344"/>
      <c r="E19" s="344"/>
      <c r="F19" s="344"/>
    </row>
    <row r="20" spans="2:6" x14ac:dyDescent="0.25">
      <c r="B20" s="132">
        <v>12</v>
      </c>
      <c r="C20" s="344" t="s">
        <v>1003</v>
      </c>
      <c r="D20" s="344"/>
      <c r="E20" s="344"/>
      <c r="F20" s="344"/>
    </row>
  </sheetData>
  <mergeCells count="3">
    <mergeCell ref="D6:F6"/>
    <mergeCell ref="D7:E7"/>
    <mergeCell ref="F7:F8"/>
  </mergeCells>
  <hyperlinks>
    <hyperlink ref="B2" location="Indhold!B63" display="Skema EU-SEC5 - Eksponeringer securitiseret af instituttet - Misligholdte eksponeringer og specifikke kreditrisikojusteringer" xr:uid="{64ADFC4A-2835-45A5-9DDE-C0F3557A0772}"/>
  </hyperlinks>
  <pageMargins left="0.70866141732283472" right="0.70866141732283472" top="0.74803149606299213" bottom="0.74803149606299213" header="0.31496062992125984" footer="0.31496062992125984"/>
  <pageSetup paperSize="9" scale="82" orientation="landscape" r:id="rId1"/>
  <headerFooter>
    <oddHeader>&amp;CDA
Bilag XXVII</oddHeader>
    <oddFooter>&amp;C&amp;P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77566-46E1-4D1C-BA14-B29F88DEDB0D}">
  <sheetPr>
    <tabColor rgb="FF0070C0"/>
    <pageSetUpPr fitToPage="1"/>
  </sheetPr>
  <dimension ref="B2:R30"/>
  <sheetViews>
    <sheetView showGridLines="0" zoomScaleNormal="100" zoomScalePageLayoutView="90" workbookViewId="0">
      <selection activeCell="B2" sqref="B2"/>
    </sheetView>
  </sheetViews>
  <sheetFormatPr defaultColWidth="9.140625" defaultRowHeight="15" x14ac:dyDescent="0.25"/>
  <cols>
    <col min="1" max="1" width="9.140625" style="1"/>
    <col min="2" max="2" width="5" style="1" customWidth="1"/>
    <col min="3" max="3" width="43" style="1" customWidth="1"/>
    <col min="4" max="4" width="75.28515625" style="1" customWidth="1"/>
    <col min="5" max="5" width="24.42578125" style="1" customWidth="1"/>
    <col min="6" max="6" width="23.28515625" style="1" customWidth="1"/>
    <col min="7" max="7" width="21" style="1" customWidth="1"/>
    <col min="8" max="8" width="25" style="1" customWidth="1"/>
    <col min="9" max="9" width="25.28515625" style="1" customWidth="1"/>
    <col min="10" max="10" width="23.140625" style="1" customWidth="1"/>
    <col min="11" max="11" width="29.7109375" style="1" customWidth="1"/>
    <col min="12" max="12" width="22" style="1" customWidth="1"/>
    <col min="13" max="13" width="16.42578125" style="1" customWidth="1"/>
    <col min="14" max="14" width="14.85546875" style="1" customWidth="1"/>
    <col min="15" max="15" width="14.5703125" style="1" customWidth="1"/>
    <col min="16" max="16" width="31.5703125" style="1" customWidth="1"/>
    <col min="17" max="16384" width="9.140625" style="1"/>
  </cols>
  <sheetData>
    <row r="2" spans="2:18" ht="18.75" x14ac:dyDescent="0.3">
      <c r="B2" s="866" t="s">
        <v>1143</v>
      </c>
      <c r="D2" s="416"/>
      <c r="E2" s="416"/>
      <c r="F2" s="416"/>
      <c r="G2" s="416"/>
      <c r="H2" s="416"/>
      <c r="I2" s="416"/>
      <c r="J2" s="416"/>
      <c r="K2" s="416"/>
      <c r="L2" s="416"/>
      <c r="M2" s="416"/>
      <c r="N2" s="416"/>
      <c r="O2" s="416"/>
      <c r="P2" s="416"/>
      <c r="Q2" s="416"/>
      <c r="R2" s="416"/>
    </row>
    <row r="5" spans="2:18" x14ac:dyDescent="0.25">
      <c r="B5" s="438"/>
      <c r="C5" s="846"/>
      <c r="D5" s="438"/>
      <c r="E5" s="814" t="s">
        <v>103</v>
      </c>
      <c r="F5" s="814" t="s">
        <v>102</v>
      </c>
      <c r="G5" s="814" t="s">
        <v>97</v>
      </c>
      <c r="H5" s="814" t="s">
        <v>96</v>
      </c>
    </row>
    <row r="6" spans="2:18" ht="30" x14ac:dyDescent="0.25">
      <c r="B6" s="438"/>
      <c r="C6" s="1199"/>
      <c r="D6" s="1200"/>
      <c r="E6" s="565" t="s">
        <v>1118</v>
      </c>
      <c r="F6" s="565" t="s">
        <v>1119</v>
      </c>
      <c r="G6" s="565" t="s">
        <v>1120</v>
      </c>
      <c r="H6" s="565" t="s">
        <v>1121</v>
      </c>
    </row>
    <row r="7" spans="2:18" x14ac:dyDescent="0.25">
      <c r="B7" s="305"/>
      <c r="C7" s="1196" t="s">
        <v>1144</v>
      </c>
      <c r="D7" s="1197"/>
      <c r="E7" s="1201"/>
      <c r="F7" s="1201"/>
      <c r="G7" s="1201"/>
      <c r="H7" s="1202"/>
    </row>
    <row r="8" spans="2:18" x14ac:dyDescent="0.25">
      <c r="B8" s="305">
        <v>1</v>
      </c>
      <c r="C8" s="1194" t="s">
        <v>1145</v>
      </c>
      <c r="D8" s="1195"/>
      <c r="E8" s="374">
        <v>0</v>
      </c>
      <c r="F8" s="374">
        <v>0</v>
      </c>
      <c r="G8" s="374">
        <v>0</v>
      </c>
      <c r="H8" s="374">
        <v>0</v>
      </c>
    </row>
    <row r="9" spans="2:18" x14ac:dyDescent="0.25">
      <c r="B9" s="305">
        <v>2</v>
      </c>
      <c r="C9" s="1194" t="s">
        <v>1146</v>
      </c>
      <c r="D9" s="1195"/>
      <c r="E9" s="374">
        <v>0</v>
      </c>
      <c r="F9" s="374">
        <v>0</v>
      </c>
      <c r="G9" s="374">
        <v>0</v>
      </c>
      <c r="H9" s="374">
        <v>0</v>
      </c>
    </row>
    <row r="10" spans="2:18" x14ac:dyDescent="0.25">
      <c r="B10" s="305">
        <v>3</v>
      </c>
      <c r="C10" s="1191" t="s">
        <v>1147</v>
      </c>
      <c r="D10" s="1192"/>
      <c r="E10" s="376">
        <v>0</v>
      </c>
      <c r="F10" s="376">
        <v>0</v>
      </c>
      <c r="G10" s="376">
        <v>0</v>
      </c>
      <c r="H10" s="376">
        <v>0</v>
      </c>
    </row>
    <row r="11" spans="2:18" x14ac:dyDescent="0.25">
      <c r="B11" s="305"/>
      <c r="C11" s="1196" t="s">
        <v>1148</v>
      </c>
      <c r="D11" s="1197"/>
      <c r="E11" s="1197"/>
      <c r="F11" s="1197"/>
      <c r="G11" s="1197"/>
      <c r="H11" s="1198"/>
    </row>
    <row r="12" spans="2:18" x14ac:dyDescent="0.25">
      <c r="B12" s="305">
        <v>4</v>
      </c>
      <c r="C12" s="1194" t="s">
        <v>1149</v>
      </c>
      <c r="D12" s="1195"/>
      <c r="E12" s="374">
        <v>0</v>
      </c>
      <c r="F12" s="374">
        <v>0</v>
      </c>
      <c r="G12" s="374">
        <v>0</v>
      </c>
      <c r="H12" s="374">
        <v>0</v>
      </c>
    </row>
    <row r="13" spans="2:18" x14ac:dyDescent="0.25">
      <c r="B13" s="305">
        <v>5</v>
      </c>
      <c r="C13" s="1194" t="s">
        <v>1150</v>
      </c>
      <c r="D13" s="1195"/>
      <c r="E13" s="374">
        <v>0</v>
      </c>
      <c r="F13" s="374">
        <v>0</v>
      </c>
      <c r="G13" s="374">
        <v>0</v>
      </c>
      <c r="H13" s="374">
        <v>0</v>
      </c>
    </row>
    <row r="14" spans="2:18" x14ac:dyDescent="0.25">
      <c r="B14" s="305"/>
      <c r="C14" s="1196" t="s">
        <v>1151</v>
      </c>
      <c r="D14" s="1197"/>
      <c r="E14" s="1197"/>
      <c r="F14" s="1197"/>
      <c r="G14" s="1197"/>
      <c r="H14" s="1198"/>
    </row>
    <row r="15" spans="2:18" x14ac:dyDescent="0.25">
      <c r="B15" s="305">
        <v>6</v>
      </c>
      <c r="C15" s="1194" t="s">
        <v>1152</v>
      </c>
      <c r="D15" s="1195"/>
      <c r="E15" s="374">
        <v>0</v>
      </c>
      <c r="F15" s="374">
        <v>0</v>
      </c>
      <c r="G15" s="374">
        <v>0</v>
      </c>
      <c r="H15" s="374">
        <v>0</v>
      </c>
    </row>
    <row r="16" spans="2:18" x14ac:dyDescent="0.25">
      <c r="B16" s="305">
        <v>7</v>
      </c>
      <c r="C16" s="1194" t="s">
        <v>1153</v>
      </c>
      <c r="D16" s="1195"/>
      <c r="E16" s="374">
        <v>0</v>
      </c>
      <c r="F16" s="374">
        <v>0</v>
      </c>
      <c r="G16" s="374">
        <v>0</v>
      </c>
      <c r="H16" s="374">
        <v>0</v>
      </c>
    </row>
    <row r="17" spans="2:8" x14ac:dyDescent="0.25">
      <c r="B17" s="305">
        <v>8</v>
      </c>
      <c r="C17" s="1191" t="s">
        <v>1154</v>
      </c>
      <c r="D17" s="1192"/>
      <c r="E17" s="374">
        <v>0</v>
      </c>
      <c r="F17" s="374">
        <v>0</v>
      </c>
      <c r="G17" s="374">
        <v>0</v>
      </c>
      <c r="H17" s="374">
        <v>0</v>
      </c>
    </row>
    <row r="18" spans="2:8" ht="15" customHeight="1" x14ac:dyDescent="0.25">
      <c r="B18" s="305">
        <v>9</v>
      </c>
      <c r="C18" s="1191" t="s">
        <v>1155</v>
      </c>
      <c r="D18" s="1192"/>
      <c r="E18" s="374">
        <v>0</v>
      </c>
      <c r="F18" s="374">
        <v>0</v>
      </c>
      <c r="G18" s="374">
        <v>0</v>
      </c>
      <c r="H18" s="374">
        <v>0</v>
      </c>
    </row>
    <row r="19" spans="2:8" ht="15" customHeight="1" x14ac:dyDescent="0.25">
      <c r="B19" s="305">
        <v>10</v>
      </c>
      <c r="C19" s="1191" t="s">
        <v>1156</v>
      </c>
      <c r="D19" s="1192"/>
      <c r="E19" s="374">
        <v>0</v>
      </c>
      <c r="F19" s="374">
        <v>0</v>
      </c>
      <c r="G19" s="374">
        <v>0</v>
      </c>
      <c r="H19" s="374">
        <v>0</v>
      </c>
    </row>
    <row r="20" spans="2:8" x14ac:dyDescent="0.25">
      <c r="B20" s="305">
        <v>11</v>
      </c>
      <c r="C20" s="1191" t="s">
        <v>1157</v>
      </c>
      <c r="D20" s="1192"/>
      <c r="E20" s="374">
        <v>0</v>
      </c>
      <c r="F20" s="374">
        <v>0</v>
      </c>
      <c r="G20" s="374">
        <v>0</v>
      </c>
      <c r="H20" s="374">
        <v>0</v>
      </c>
    </row>
    <row r="26" spans="2:8" x14ac:dyDescent="0.25">
      <c r="C26" s="1193"/>
      <c r="D26" s="1193"/>
      <c r="E26" s="1193"/>
      <c r="F26" s="1193"/>
      <c r="G26" s="1193"/>
      <c r="H26" s="1193"/>
    </row>
    <row r="30" spans="2:8" ht="29.25" customHeight="1" x14ac:dyDescent="0.25"/>
  </sheetData>
  <mergeCells count="16">
    <mergeCell ref="C11:H11"/>
    <mergeCell ref="C6:D6"/>
    <mergeCell ref="C7:H7"/>
    <mergeCell ref="C8:D8"/>
    <mergeCell ref="C9:D9"/>
    <mergeCell ref="C10:D10"/>
    <mergeCell ref="C18:D18"/>
    <mergeCell ref="C19:D19"/>
    <mergeCell ref="C20:D20"/>
    <mergeCell ref="C26:H26"/>
    <mergeCell ref="C12:D12"/>
    <mergeCell ref="C13:D13"/>
    <mergeCell ref="C14:H14"/>
    <mergeCell ref="C15:D15"/>
    <mergeCell ref="C16:D16"/>
    <mergeCell ref="C17:D17"/>
  </mergeCells>
  <hyperlinks>
    <hyperlink ref="B2" location="Indhold!B64" display="Skema EU REM2 – Særlige betalinger til medarbejdere, hvis arbejde har væsentlig indflydelse på instituttets risikoprofil (identificerede medarbejdere)" xr:uid="{2B9D6858-E5A4-4EAB-A804-0B7CF2AD3334}"/>
  </hyperlinks>
  <pageMargins left="0.70866141732283472" right="0.70866141732283472" top="0.74803149606299213" bottom="0.74803149606299213" header="0.31496062992125984" footer="0.31496062992125984"/>
  <pageSetup paperSize="9" scale="60" fitToHeight="0" orientation="landscape" cellComments="asDisplayed" r:id="rId1"/>
  <headerFooter>
    <oddHeader>&amp;CDA
Bilag XXXIII</oddHeader>
    <oddFooter>&amp;C&amp;P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B3F74-1A68-4214-B013-03017BAE0327}">
  <sheetPr>
    <tabColor rgb="FF0070C0"/>
    <pageSetUpPr fitToPage="1"/>
  </sheetPr>
  <dimension ref="B2:Y31"/>
  <sheetViews>
    <sheetView showGridLines="0" zoomScaleNormal="100" zoomScalePageLayoutView="90" workbookViewId="0">
      <selection activeCell="B2" sqref="B2"/>
    </sheetView>
  </sheetViews>
  <sheetFormatPr defaultColWidth="9.140625" defaultRowHeight="15" x14ac:dyDescent="0.25"/>
  <cols>
    <col min="1" max="2" width="9.140625" style="1"/>
    <col min="3" max="3" width="28.7109375" style="1" customWidth="1"/>
    <col min="4" max="8" width="20" style="1" customWidth="1"/>
    <col min="9" max="9" width="20" style="377" customWidth="1"/>
    <col min="10" max="10" width="20" style="1" customWidth="1"/>
    <col min="11" max="11" width="22.140625" style="1" customWidth="1"/>
    <col min="12" max="12" width="9.140625" style="1"/>
    <col min="13" max="13" width="255.7109375" style="1" bestFit="1" customWidth="1"/>
    <col min="14" max="16384" width="9.140625" style="1"/>
  </cols>
  <sheetData>
    <row r="2" spans="2:25" ht="18.75" x14ac:dyDescent="0.3">
      <c r="B2" s="866" t="s">
        <v>1158</v>
      </c>
      <c r="D2" s="416"/>
      <c r="E2" s="416"/>
      <c r="F2" s="416"/>
      <c r="G2" s="416"/>
      <c r="H2" s="416"/>
      <c r="I2" s="416"/>
      <c r="J2" s="416"/>
      <c r="K2" s="416"/>
      <c r="L2" s="416"/>
      <c r="M2" s="416"/>
      <c r="N2" s="416"/>
      <c r="O2" s="416"/>
      <c r="P2" s="416"/>
      <c r="Q2" s="416"/>
      <c r="R2" s="416"/>
    </row>
    <row r="3" spans="2:25" ht="14.25" customHeight="1" x14ac:dyDescent="0.25">
      <c r="C3" s="378"/>
      <c r="D3" s="378"/>
      <c r="E3" s="378"/>
      <c r="F3" s="378"/>
      <c r="G3" s="378"/>
      <c r="H3" s="378"/>
      <c r="I3" s="379"/>
      <c r="J3" s="378"/>
    </row>
    <row r="4" spans="2:25" x14ac:dyDescent="0.25">
      <c r="E4" s="378"/>
      <c r="F4" s="378"/>
      <c r="G4" s="378"/>
      <c r="H4" s="378"/>
      <c r="I4" s="379"/>
    </row>
    <row r="5" spans="2:25" x14ac:dyDescent="0.25">
      <c r="B5" s="438"/>
      <c r="C5" s="438"/>
      <c r="D5" s="814" t="s">
        <v>103</v>
      </c>
      <c r="E5" s="814" t="s">
        <v>102</v>
      </c>
      <c r="F5" s="814" t="s">
        <v>97</v>
      </c>
      <c r="G5" s="814" t="s">
        <v>96</v>
      </c>
      <c r="H5" s="814" t="s">
        <v>95</v>
      </c>
      <c r="I5" s="814" t="s">
        <v>111</v>
      </c>
      <c r="J5" s="814" t="s">
        <v>1159</v>
      </c>
      <c r="K5" s="814" t="s">
        <v>1160</v>
      </c>
    </row>
    <row r="6" spans="2:25" ht="196.5" customHeight="1" x14ac:dyDescent="0.25">
      <c r="B6" s="438"/>
      <c r="C6" s="467" t="s">
        <v>1161</v>
      </c>
      <c r="D6" s="848" t="s">
        <v>1162</v>
      </c>
      <c r="E6" s="848" t="s">
        <v>1163</v>
      </c>
      <c r="F6" s="848" t="s">
        <v>1164</v>
      </c>
      <c r="G6" s="848" t="s">
        <v>1165</v>
      </c>
      <c r="H6" s="848" t="s">
        <v>1166</v>
      </c>
      <c r="I6" s="848" t="s">
        <v>1167</v>
      </c>
      <c r="J6" s="848" t="s">
        <v>1168</v>
      </c>
      <c r="K6" s="848" t="s">
        <v>1169</v>
      </c>
      <c r="M6" s="380"/>
      <c r="N6" s="381"/>
      <c r="O6" s="381"/>
      <c r="P6" s="381"/>
      <c r="Q6" s="381"/>
      <c r="R6" s="381"/>
      <c r="S6" s="381"/>
      <c r="T6" s="381"/>
      <c r="U6" s="381"/>
      <c r="V6" s="381"/>
      <c r="W6" s="381"/>
      <c r="X6" s="381"/>
      <c r="Y6" s="381"/>
    </row>
    <row r="7" spans="2:25" ht="30" x14ac:dyDescent="0.25">
      <c r="B7" s="305">
        <v>1</v>
      </c>
      <c r="C7" s="812" t="s">
        <v>1118</v>
      </c>
      <c r="D7" s="847">
        <v>0</v>
      </c>
      <c r="E7" s="847">
        <v>0</v>
      </c>
      <c r="F7" s="847">
        <v>0</v>
      </c>
      <c r="G7" s="847">
        <v>0</v>
      </c>
      <c r="H7" s="847">
        <v>0</v>
      </c>
      <c r="I7" s="847">
        <v>0</v>
      </c>
      <c r="J7" s="847">
        <v>0</v>
      </c>
      <c r="K7" s="847">
        <v>0</v>
      </c>
    </row>
    <row r="8" spans="2:25" x14ac:dyDescent="0.25">
      <c r="B8" s="305">
        <v>2</v>
      </c>
      <c r="C8" s="375" t="s">
        <v>1170</v>
      </c>
      <c r="D8" s="374">
        <v>0</v>
      </c>
      <c r="E8" s="374">
        <v>0</v>
      </c>
      <c r="F8" s="374">
        <v>0</v>
      </c>
      <c r="G8" s="374">
        <v>0</v>
      </c>
      <c r="H8" s="374">
        <v>0</v>
      </c>
      <c r="I8" s="374">
        <v>0</v>
      </c>
      <c r="J8" s="374">
        <v>0</v>
      </c>
      <c r="K8" s="374">
        <v>0</v>
      </c>
    </row>
    <row r="9" spans="2:25" ht="45" x14ac:dyDescent="0.25">
      <c r="B9" s="305">
        <v>3</v>
      </c>
      <c r="C9" s="375" t="s">
        <v>1171</v>
      </c>
      <c r="D9" s="374">
        <v>0</v>
      </c>
      <c r="E9" s="374">
        <v>0</v>
      </c>
      <c r="F9" s="374">
        <v>0</v>
      </c>
      <c r="G9" s="374">
        <v>0</v>
      </c>
      <c r="H9" s="374">
        <v>0</v>
      </c>
      <c r="I9" s="374">
        <v>0</v>
      </c>
      <c r="J9" s="374">
        <v>0</v>
      </c>
      <c r="K9" s="374">
        <v>0</v>
      </c>
    </row>
    <row r="10" spans="2:25" ht="45" x14ac:dyDescent="0.25">
      <c r="B10" s="305">
        <v>4</v>
      </c>
      <c r="C10" s="375" t="s">
        <v>1172</v>
      </c>
      <c r="D10" s="374">
        <v>0</v>
      </c>
      <c r="E10" s="374">
        <v>0</v>
      </c>
      <c r="F10" s="374">
        <v>0</v>
      </c>
      <c r="G10" s="374">
        <v>0</v>
      </c>
      <c r="H10" s="374">
        <v>0</v>
      </c>
      <c r="I10" s="374">
        <v>0</v>
      </c>
      <c r="J10" s="374">
        <v>0</v>
      </c>
      <c r="K10" s="374">
        <v>0</v>
      </c>
    </row>
    <row r="11" spans="2:25" x14ac:dyDescent="0.25">
      <c r="B11" s="305">
        <v>5</v>
      </c>
      <c r="C11" s="375" t="s">
        <v>1173</v>
      </c>
      <c r="D11" s="374">
        <v>0</v>
      </c>
      <c r="E11" s="374">
        <v>0</v>
      </c>
      <c r="F11" s="374">
        <v>0</v>
      </c>
      <c r="G11" s="374">
        <v>0</v>
      </c>
      <c r="H11" s="374">
        <v>0</v>
      </c>
      <c r="I11" s="374">
        <v>0</v>
      </c>
      <c r="J11" s="374">
        <v>0</v>
      </c>
      <c r="K11" s="374">
        <v>0</v>
      </c>
    </row>
    <row r="12" spans="2:25" x14ac:dyDescent="0.25">
      <c r="B12" s="305">
        <v>6</v>
      </c>
      <c r="C12" s="375" t="s">
        <v>1174</v>
      </c>
      <c r="D12" s="374">
        <v>0</v>
      </c>
      <c r="E12" s="374">
        <v>0</v>
      </c>
      <c r="F12" s="374">
        <v>0</v>
      </c>
      <c r="G12" s="374">
        <v>0</v>
      </c>
      <c r="H12" s="374">
        <v>0</v>
      </c>
      <c r="I12" s="374">
        <v>0</v>
      </c>
      <c r="J12" s="374">
        <v>0</v>
      </c>
      <c r="K12" s="374">
        <v>0</v>
      </c>
    </row>
    <row r="13" spans="2:25" ht="30" x14ac:dyDescent="0.25">
      <c r="B13" s="178">
        <v>7</v>
      </c>
      <c r="C13" s="244" t="s">
        <v>1175</v>
      </c>
      <c r="D13" s="374">
        <v>0</v>
      </c>
      <c r="E13" s="374">
        <v>0</v>
      </c>
      <c r="F13" s="374">
        <v>0</v>
      </c>
      <c r="G13" s="374">
        <v>0</v>
      </c>
      <c r="H13" s="374">
        <v>0</v>
      </c>
      <c r="I13" s="374">
        <v>0</v>
      </c>
      <c r="J13" s="374">
        <v>0</v>
      </c>
      <c r="K13" s="374">
        <v>0</v>
      </c>
    </row>
    <row r="14" spans="2:25" x14ac:dyDescent="0.25">
      <c r="B14" s="178">
        <v>8</v>
      </c>
      <c r="C14" s="375" t="s">
        <v>1170</v>
      </c>
      <c r="D14" s="374">
        <v>0</v>
      </c>
      <c r="E14" s="374">
        <v>0</v>
      </c>
      <c r="F14" s="374">
        <v>0</v>
      </c>
      <c r="G14" s="374">
        <v>0</v>
      </c>
      <c r="H14" s="374">
        <v>0</v>
      </c>
      <c r="I14" s="374">
        <v>0</v>
      </c>
      <c r="J14" s="374">
        <v>0</v>
      </c>
      <c r="K14" s="374">
        <v>0</v>
      </c>
    </row>
    <row r="15" spans="2:25" ht="45" x14ac:dyDescent="0.25">
      <c r="B15" s="178">
        <v>9</v>
      </c>
      <c r="C15" s="375" t="s">
        <v>1171</v>
      </c>
      <c r="D15" s="374">
        <v>0</v>
      </c>
      <c r="E15" s="374">
        <v>0</v>
      </c>
      <c r="F15" s="374">
        <v>0</v>
      </c>
      <c r="G15" s="374">
        <v>0</v>
      </c>
      <c r="H15" s="374">
        <v>0</v>
      </c>
      <c r="I15" s="374">
        <v>0</v>
      </c>
      <c r="J15" s="374">
        <v>0</v>
      </c>
      <c r="K15" s="374">
        <v>0</v>
      </c>
    </row>
    <row r="16" spans="2:25" ht="45" x14ac:dyDescent="0.25">
      <c r="B16" s="178">
        <v>10</v>
      </c>
      <c r="C16" s="375" t="s">
        <v>1172</v>
      </c>
      <c r="D16" s="374">
        <v>0</v>
      </c>
      <c r="E16" s="374">
        <v>0</v>
      </c>
      <c r="F16" s="374">
        <v>0</v>
      </c>
      <c r="G16" s="374">
        <v>0</v>
      </c>
      <c r="H16" s="374">
        <v>0</v>
      </c>
      <c r="I16" s="374">
        <v>0</v>
      </c>
      <c r="J16" s="374">
        <v>0</v>
      </c>
      <c r="K16" s="374">
        <v>0</v>
      </c>
    </row>
    <row r="17" spans="2:25" x14ac:dyDescent="0.25">
      <c r="B17" s="178">
        <v>11</v>
      </c>
      <c r="C17" s="375" t="s">
        <v>1173</v>
      </c>
      <c r="D17" s="374">
        <v>0</v>
      </c>
      <c r="E17" s="374">
        <v>0</v>
      </c>
      <c r="F17" s="374">
        <v>0</v>
      </c>
      <c r="G17" s="374">
        <v>0</v>
      </c>
      <c r="H17" s="374">
        <v>0</v>
      </c>
      <c r="I17" s="374">
        <v>0</v>
      </c>
      <c r="J17" s="374">
        <v>0</v>
      </c>
      <c r="K17" s="374">
        <v>0</v>
      </c>
    </row>
    <row r="18" spans="2:25" x14ac:dyDescent="0.25">
      <c r="B18" s="178">
        <v>12</v>
      </c>
      <c r="C18" s="375" t="s">
        <v>1174</v>
      </c>
      <c r="D18" s="374">
        <v>0</v>
      </c>
      <c r="E18" s="374">
        <v>0</v>
      </c>
      <c r="F18" s="374">
        <v>0</v>
      </c>
      <c r="G18" s="374">
        <v>0</v>
      </c>
      <c r="H18" s="374">
        <v>0</v>
      </c>
      <c r="I18" s="374">
        <v>0</v>
      </c>
      <c r="J18" s="374">
        <v>0</v>
      </c>
      <c r="K18" s="374">
        <v>0</v>
      </c>
    </row>
    <row r="19" spans="2:25" x14ac:dyDescent="0.25">
      <c r="B19" s="178">
        <v>13</v>
      </c>
      <c r="C19" s="1" t="s">
        <v>1120</v>
      </c>
      <c r="D19" s="374">
        <v>0</v>
      </c>
      <c r="E19" s="374">
        <v>0</v>
      </c>
      <c r="F19" s="374">
        <v>0</v>
      </c>
      <c r="G19" s="374">
        <v>0</v>
      </c>
      <c r="H19" s="374">
        <v>0</v>
      </c>
      <c r="I19" s="374">
        <v>0</v>
      </c>
      <c r="J19" s="374">
        <v>0</v>
      </c>
      <c r="K19" s="374">
        <v>0</v>
      </c>
    </row>
    <row r="20" spans="2:25" x14ac:dyDescent="0.25">
      <c r="B20" s="178">
        <v>14</v>
      </c>
      <c r="C20" s="375" t="s">
        <v>1170</v>
      </c>
      <c r="D20" s="374">
        <v>0</v>
      </c>
      <c r="E20" s="374">
        <v>0</v>
      </c>
      <c r="F20" s="374">
        <v>0</v>
      </c>
      <c r="G20" s="374">
        <v>0</v>
      </c>
      <c r="H20" s="374">
        <v>0</v>
      </c>
      <c r="I20" s="374">
        <v>0</v>
      </c>
      <c r="J20" s="374">
        <v>0</v>
      </c>
      <c r="K20" s="374">
        <v>0</v>
      </c>
    </row>
    <row r="21" spans="2:25" ht="45" x14ac:dyDescent="0.25">
      <c r="B21" s="178">
        <v>15</v>
      </c>
      <c r="C21" s="375" t="s">
        <v>1171</v>
      </c>
      <c r="D21" s="374">
        <v>0</v>
      </c>
      <c r="E21" s="374">
        <v>0</v>
      </c>
      <c r="F21" s="374">
        <v>0</v>
      </c>
      <c r="G21" s="374">
        <v>0</v>
      </c>
      <c r="H21" s="374">
        <v>0</v>
      </c>
      <c r="I21" s="374">
        <v>0</v>
      </c>
      <c r="J21" s="374">
        <v>0</v>
      </c>
      <c r="K21" s="374">
        <v>0</v>
      </c>
    </row>
    <row r="22" spans="2:25" ht="45" x14ac:dyDescent="0.25">
      <c r="B22" s="178">
        <v>16</v>
      </c>
      <c r="C22" s="375" t="s">
        <v>1172</v>
      </c>
      <c r="D22" s="374">
        <v>0</v>
      </c>
      <c r="E22" s="374">
        <v>0</v>
      </c>
      <c r="F22" s="374">
        <v>0</v>
      </c>
      <c r="G22" s="374">
        <v>0</v>
      </c>
      <c r="H22" s="374">
        <v>0</v>
      </c>
      <c r="I22" s="374">
        <v>0</v>
      </c>
      <c r="J22" s="374">
        <v>0</v>
      </c>
      <c r="K22" s="374">
        <v>0</v>
      </c>
    </row>
    <row r="23" spans="2:25" x14ac:dyDescent="0.25">
      <c r="B23" s="178">
        <v>17</v>
      </c>
      <c r="C23" s="375" t="s">
        <v>1173</v>
      </c>
      <c r="D23" s="374">
        <v>0</v>
      </c>
      <c r="E23" s="374">
        <v>0</v>
      </c>
      <c r="F23" s="374">
        <v>0</v>
      </c>
      <c r="G23" s="374">
        <v>0</v>
      </c>
      <c r="H23" s="374">
        <v>0</v>
      </c>
      <c r="I23" s="374">
        <v>0</v>
      </c>
      <c r="J23" s="374">
        <v>0</v>
      </c>
      <c r="K23" s="374">
        <v>0</v>
      </c>
    </row>
    <row r="24" spans="2:25" x14ac:dyDescent="0.25">
      <c r="B24" s="178">
        <v>18</v>
      </c>
      <c r="C24" s="375" t="s">
        <v>1174</v>
      </c>
      <c r="D24" s="374">
        <v>0</v>
      </c>
      <c r="E24" s="374">
        <v>0</v>
      </c>
      <c r="F24" s="374">
        <v>0</v>
      </c>
      <c r="G24" s="374">
        <v>0</v>
      </c>
      <c r="H24" s="374">
        <v>0</v>
      </c>
      <c r="I24" s="374">
        <v>0</v>
      </c>
      <c r="J24" s="374">
        <v>0</v>
      </c>
      <c r="K24" s="374">
        <v>0</v>
      </c>
    </row>
    <row r="25" spans="2:25" ht="30" x14ac:dyDescent="0.25">
      <c r="B25" s="178">
        <v>19</v>
      </c>
      <c r="C25" s="345" t="s">
        <v>1121</v>
      </c>
      <c r="D25" s="374">
        <v>0</v>
      </c>
      <c r="E25" s="374">
        <v>0</v>
      </c>
      <c r="F25" s="374">
        <v>0</v>
      </c>
      <c r="G25" s="374">
        <v>0</v>
      </c>
      <c r="H25" s="374">
        <v>0</v>
      </c>
      <c r="I25" s="374">
        <v>0</v>
      </c>
      <c r="J25" s="374">
        <v>0</v>
      </c>
      <c r="K25" s="374">
        <v>0</v>
      </c>
    </row>
    <row r="26" spans="2:25" x14ac:dyDescent="0.25">
      <c r="B26" s="178">
        <v>20</v>
      </c>
      <c r="C26" s="375" t="s">
        <v>1170</v>
      </c>
      <c r="D26" s="374">
        <v>0</v>
      </c>
      <c r="E26" s="374">
        <v>0</v>
      </c>
      <c r="F26" s="374">
        <v>0</v>
      </c>
      <c r="G26" s="374">
        <v>0</v>
      </c>
      <c r="H26" s="374">
        <v>0</v>
      </c>
      <c r="I26" s="374">
        <v>0</v>
      </c>
      <c r="J26" s="374">
        <v>0</v>
      </c>
      <c r="K26" s="374">
        <v>0</v>
      </c>
      <c r="M26" s="381"/>
    </row>
    <row r="27" spans="2:25" ht="45" x14ac:dyDescent="0.25">
      <c r="B27" s="178">
        <v>21</v>
      </c>
      <c r="C27" s="375" t="s">
        <v>1171</v>
      </c>
      <c r="D27" s="374">
        <v>0</v>
      </c>
      <c r="E27" s="374">
        <v>0</v>
      </c>
      <c r="F27" s="374">
        <v>0</v>
      </c>
      <c r="G27" s="374">
        <v>0</v>
      </c>
      <c r="H27" s="374">
        <v>0</v>
      </c>
      <c r="I27" s="374">
        <v>0</v>
      </c>
      <c r="J27" s="374">
        <v>0</v>
      </c>
      <c r="K27" s="374">
        <v>0</v>
      </c>
    </row>
    <row r="28" spans="2:25" ht="45" x14ac:dyDescent="0.25">
      <c r="B28" s="178">
        <v>22</v>
      </c>
      <c r="C28" s="375" t="s">
        <v>1172</v>
      </c>
      <c r="D28" s="374">
        <v>0</v>
      </c>
      <c r="E28" s="374">
        <v>0</v>
      </c>
      <c r="F28" s="374">
        <v>0</v>
      </c>
      <c r="G28" s="374">
        <v>0</v>
      </c>
      <c r="H28" s="374">
        <v>0</v>
      </c>
      <c r="I28" s="374">
        <v>0</v>
      </c>
      <c r="J28" s="374">
        <v>0</v>
      </c>
      <c r="K28" s="374">
        <v>0</v>
      </c>
    </row>
    <row r="29" spans="2:25" x14ac:dyDescent="0.25">
      <c r="B29" s="178">
        <v>23</v>
      </c>
      <c r="C29" s="375" t="s">
        <v>1173</v>
      </c>
      <c r="D29" s="374">
        <v>0</v>
      </c>
      <c r="E29" s="374">
        <v>0</v>
      </c>
      <c r="F29" s="374">
        <v>0</v>
      </c>
      <c r="G29" s="374">
        <v>0</v>
      </c>
      <c r="H29" s="374">
        <v>0</v>
      </c>
      <c r="I29" s="374">
        <v>0</v>
      </c>
      <c r="J29" s="374">
        <v>0</v>
      </c>
      <c r="K29" s="374">
        <v>0</v>
      </c>
    </row>
    <row r="30" spans="2:25" x14ac:dyDescent="0.25">
      <c r="B30" s="178">
        <v>24</v>
      </c>
      <c r="C30" s="375" t="s">
        <v>1174</v>
      </c>
      <c r="D30" s="374">
        <v>0</v>
      </c>
      <c r="E30" s="374">
        <v>0</v>
      </c>
      <c r="F30" s="374">
        <v>0</v>
      </c>
      <c r="G30" s="374">
        <v>0</v>
      </c>
      <c r="H30" s="374">
        <v>0</v>
      </c>
      <c r="I30" s="374">
        <v>0</v>
      </c>
      <c r="J30" s="374">
        <v>0</v>
      </c>
      <c r="K30" s="374">
        <v>0</v>
      </c>
    </row>
    <row r="31" spans="2:25" ht="18.75" x14ac:dyDescent="0.3">
      <c r="B31" s="178">
        <v>25</v>
      </c>
      <c r="C31" s="179" t="s">
        <v>1176</v>
      </c>
      <c r="D31" s="374">
        <v>0</v>
      </c>
      <c r="E31" s="374">
        <v>0</v>
      </c>
      <c r="F31" s="374">
        <v>0</v>
      </c>
      <c r="G31" s="374">
        <v>0</v>
      </c>
      <c r="H31" s="374">
        <v>0</v>
      </c>
      <c r="I31" s="374">
        <v>0</v>
      </c>
      <c r="J31" s="374">
        <v>0</v>
      </c>
      <c r="K31" s="374">
        <v>0</v>
      </c>
      <c r="Y31" s="416"/>
    </row>
  </sheetData>
  <hyperlinks>
    <hyperlink ref="B2" location="Indhold!B65" display="Skema EU REM3 – Udskudt aflønning " xr:uid="{B06BC55D-BCA6-44A0-AA18-8D8D2E7EE926}"/>
  </hyperlinks>
  <pageMargins left="0.70866141732283472" right="0.70866141732283472" top="0.74803149606299213" bottom="0.74803149606299213" header="0.31496062992125984" footer="0.31496062992125984"/>
  <pageSetup paperSize="9" scale="65" fitToHeight="0" orientation="landscape" cellComments="asDisplayed" r:id="rId1"/>
  <headerFooter>
    <oddHeader>&amp;CDA
Bilag XXXIII</oddHeader>
    <oddFooter>&amp;C&amp;P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3CF3A-2A62-4281-9C0F-8785AE845F53}">
  <sheetPr>
    <tabColor rgb="FF0070C0"/>
  </sheetPr>
  <dimension ref="B2:Q22"/>
  <sheetViews>
    <sheetView showGridLines="0" zoomScaleNormal="100" workbookViewId="0">
      <selection activeCell="B2" sqref="B2"/>
    </sheetView>
  </sheetViews>
  <sheetFormatPr defaultColWidth="9.140625" defaultRowHeight="15" x14ac:dyDescent="0.25"/>
  <cols>
    <col min="2" max="2" width="8.7109375" customWidth="1"/>
    <col min="3" max="3" width="42.28515625" customWidth="1"/>
    <col min="4" max="4" width="48.140625" customWidth="1"/>
    <col min="8" max="8" width="42.28515625" customWidth="1"/>
    <col min="9" max="9" width="48.140625" customWidth="1"/>
  </cols>
  <sheetData>
    <row r="2" spans="2:17" ht="18.75" x14ac:dyDescent="0.3">
      <c r="B2" s="866" t="s">
        <v>1177</v>
      </c>
      <c r="C2" s="416"/>
      <c r="D2" s="416"/>
      <c r="E2" s="416"/>
      <c r="F2" s="416"/>
      <c r="G2" s="416"/>
      <c r="H2" s="416"/>
      <c r="I2" s="416"/>
      <c r="J2" s="416"/>
      <c r="K2" s="416"/>
      <c r="L2" s="416"/>
      <c r="M2" s="416"/>
      <c r="N2" s="416"/>
      <c r="O2" s="416"/>
      <c r="P2" s="416"/>
      <c r="Q2" s="416"/>
    </row>
    <row r="3" spans="2:17" ht="15" customHeight="1" x14ac:dyDescent="0.3">
      <c r="B3" s="416"/>
      <c r="C3" s="416"/>
      <c r="D3" s="416"/>
      <c r="E3" s="416"/>
      <c r="F3" s="416"/>
      <c r="G3" s="416"/>
      <c r="H3" s="416"/>
      <c r="I3" s="416"/>
      <c r="J3" s="416"/>
      <c r="K3" s="416"/>
      <c r="L3" s="416"/>
      <c r="M3" s="416"/>
      <c r="N3" s="416"/>
      <c r="O3" s="416"/>
      <c r="P3" s="416"/>
      <c r="Q3" s="416"/>
    </row>
    <row r="4" spans="2:17" ht="15" customHeight="1" x14ac:dyDescent="0.3">
      <c r="B4" s="416"/>
      <c r="C4" s="416"/>
      <c r="D4" s="416"/>
      <c r="E4" s="416"/>
      <c r="F4" s="416"/>
      <c r="G4" s="416"/>
      <c r="H4" s="416"/>
      <c r="I4" s="416"/>
      <c r="J4" s="416"/>
      <c r="K4" s="416"/>
      <c r="L4" s="416"/>
      <c r="M4" s="416"/>
      <c r="N4" s="416"/>
      <c r="O4" s="416"/>
      <c r="P4" s="416"/>
      <c r="Q4" s="416"/>
    </row>
    <row r="5" spans="2:17" ht="18" customHeight="1" x14ac:dyDescent="0.25">
      <c r="B5" s="505"/>
      <c r="C5" s="505"/>
      <c r="D5" s="835" t="s">
        <v>103</v>
      </c>
    </row>
    <row r="6" spans="2:17" ht="30" x14ac:dyDescent="0.25">
      <c r="B6" s="505"/>
      <c r="C6" s="813" t="s">
        <v>1178</v>
      </c>
      <c r="D6" s="851" t="s">
        <v>1179</v>
      </c>
    </row>
    <row r="7" spans="2:17" x14ac:dyDescent="0.25">
      <c r="B7" s="178">
        <v>1</v>
      </c>
      <c r="C7" s="849" t="s">
        <v>1180</v>
      </c>
      <c r="D7" s="850">
        <v>0</v>
      </c>
    </row>
    <row r="8" spans="2:17" x14ac:dyDescent="0.25">
      <c r="B8" s="178">
        <v>2</v>
      </c>
      <c r="C8" s="382" t="s">
        <v>1181</v>
      </c>
      <c r="D8" s="383">
        <v>0</v>
      </c>
    </row>
    <row r="9" spans="2:17" x14ac:dyDescent="0.25">
      <c r="B9" s="178">
        <v>3</v>
      </c>
      <c r="C9" s="382" t="s">
        <v>1182</v>
      </c>
      <c r="D9" s="383">
        <v>0</v>
      </c>
    </row>
    <row r="10" spans="2:17" x14ac:dyDescent="0.25">
      <c r="B10" s="178">
        <v>4</v>
      </c>
      <c r="C10" s="382" t="s">
        <v>1183</v>
      </c>
      <c r="D10" s="383">
        <v>0</v>
      </c>
    </row>
    <row r="11" spans="2:17" x14ac:dyDescent="0.25">
      <c r="B11" s="178">
        <v>5</v>
      </c>
      <c r="C11" s="382" t="s">
        <v>1184</v>
      </c>
      <c r="D11" s="383">
        <v>0</v>
      </c>
    </row>
    <row r="12" spans="2:17" x14ac:dyDescent="0.25">
      <c r="B12" s="178">
        <v>6</v>
      </c>
      <c r="C12" s="382" t="s">
        <v>1185</v>
      </c>
      <c r="D12" s="383">
        <v>0</v>
      </c>
    </row>
    <row r="13" spans="2:17" x14ac:dyDescent="0.25">
      <c r="B13" s="178">
        <v>7</v>
      </c>
      <c r="C13" s="382" t="s">
        <v>1186</v>
      </c>
      <c r="D13" s="383">
        <v>0</v>
      </c>
    </row>
    <row r="14" spans="2:17" x14ac:dyDescent="0.25">
      <c r="B14" s="178">
        <v>8</v>
      </c>
      <c r="C14" s="382" t="s">
        <v>1187</v>
      </c>
      <c r="D14" s="383">
        <v>0</v>
      </c>
    </row>
    <row r="15" spans="2:17" x14ac:dyDescent="0.25">
      <c r="B15" s="178">
        <v>9</v>
      </c>
      <c r="C15" s="382" t="s">
        <v>1188</v>
      </c>
      <c r="D15" s="383">
        <v>0</v>
      </c>
    </row>
    <row r="16" spans="2:17" x14ac:dyDescent="0.25">
      <c r="B16" s="178">
        <v>10</v>
      </c>
      <c r="C16" s="382" t="s">
        <v>1189</v>
      </c>
      <c r="D16" s="383">
        <v>0</v>
      </c>
    </row>
    <row r="17" spans="2:4" x14ac:dyDescent="0.25">
      <c r="B17" s="178">
        <v>11</v>
      </c>
      <c r="C17" s="382" t="s">
        <v>1190</v>
      </c>
      <c r="D17" s="383">
        <v>0</v>
      </c>
    </row>
    <row r="18" spans="2:4" ht="30" x14ac:dyDescent="0.25">
      <c r="B18" s="44" t="s">
        <v>931</v>
      </c>
      <c r="C18" s="345" t="s">
        <v>1191</v>
      </c>
      <c r="D18" s="383"/>
    </row>
    <row r="22" spans="2:4" x14ac:dyDescent="0.25">
      <c r="D22" s="32"/>
    </row>
  </sheetData>
  <hyperlinks>
    <hyperlink ref="B2" location="Indhold!B66" display="Skema EU REM4 – Aflønning på 1 mio. EUR eller derover pr. regnskabsår" xr:uid="{62E22777-A5DB-4D8D-A72A-0954AEFE7FC6}"/>
  </hyperlinks>
  <pageMargins left="0.70866141732283472" right="0.70866141732283472" top="0.74803149606299213" bottom="0.74803149606299213" header="0.31496062992125984" footer="0.31496062992125984"/>
  <pageSetup paperSize="9" orientation="landscape" r:id="rId1"/>
  <headerFooter>
    <oddHeader>&amp;CDA 
Bilag XXXIII</oddHeader>
    <oddFooter>&amp;C&amp;P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5EDDB-862F-4D0B-A149-B0A7C2E1E8BF}">
  <sheetPr>
    <tabColor rgb="FF0070C0"/>
  </sheetPr>
  <dimension ref="B2:AJ23"/>
  <sheetViews>
    <sheetView showGridLines="0" zoomScaleNormal="100" workbookViewId="0">
      <selection activeCell="B2" sqref="B2"/>
    </sheetView>
  </sheetViews>
  <sheetFormatPr defaultColWidth="8.85546875" defaultRowHeight="12.75" x14ac:dyDescent="0.25"/>
  <cols>
    <col min="1" max="1" width="8.85546875" style="386"/>
    <col min="2" max="2" width="5.7109375" style="386" customWidth="1"/>
    <col min="3" max="3" width="72" style="386" customWidth="1"/>
    <col min="4" max="8" width="17.7109375" style="386" customWidth="1"/>
    <col min="9" max="9" width="19.42578125" style="386" customWidth="1"/>
    <col min="10" max="11" width="17.7109375" style="386" customWidth="1"/>
    <col min="12" max="12" width="13.7109375" style="386" customWidth="1"/>
    <col min="13" max="16384" width="8.85546875" style="386"/>
  </cols>
  <sheetData>
    <row r="2" spans="2:36" ht="18.75" x14ac:dyDescent="0.3">
      <c r="B2" s="866" t="s">
        <v>1221</v>
      </c>
      <c r="D2" s="416"/>
      <c r="E2" s="416"/>
      <c r="F2" s="416"/>
      <c r="G2" s="416"/>
      <c r="H2" s="416"/>
      <c r="I2" s="416"/>
      <c r="J2" s="416"/>
      <c r="K2" s="416"/>
      <c r="L2" s="416"/>
      <c r="M2" s="416"/>
      <c r="N2" s="416"/>
      <c r="O2" s="416"/>
      <c r="P2" s="416"/>
      <c r="Q2" s="416"/>
      <c r="R2" s="416"/>
    </row>
    <row r="3" spans="2:36" ht="15" customHeight="1" x14ac:dyDescent="0.25">
      <c r="B3" s="395"/>
      <c r="C3" s="397"/>
      <c r="D3" s="396"/>
      <c r="E3" s="396"/>
      <c r="F3" s="396"/>
      <c r="G3" s="396"/>
    </row>
    <row r="4" spans="2:36" s="388" customFormat="1" ht="15" customHeight="1" x14ac:dyDescent="0.25">
      <c r="D4" s="389"/>
      <c r="E4" s="389"/>
      <c r="F4" s="389"/>
      <c r="G4" s="389"/>
      <c r="H4" s="386"/>
      <c r="I4" s="386"/>
      <c r="J4" s="386"/>
      <c r="K4" s="386"/>
      <c r="L4" s="386"/>
      <c r="M4" s="386"/>
      <c r="N4" s="386"/>
      <c r="O4" s="386"/>
      <c r="P4" s="386"/>
      <c r="Q4" s="386"/>
      <c r="R4" s="386"/>
      <c r="S4" s="386"/>
      <c r="T4" s="386"/>
      <c r="U4" s="386"/>
      <c r="V4" s="386"/>
      <c r="W4" s="386"/>
      <c r="X4" s="386"/>
      <c r="Y4" s="386"/>
      <c r="Z4" s="386"/>
      <c r="AA4" s="386"/>
      <c r="AB4" s="386"/>
      <c r="AC4" s="386"/>
      <c r="AD4" s="386"/>
      <c r="AE4" s="386"/>
      <c r="AF4" s="386"/>
      <c r="AG4" s="386"/>
      <c r="AH4" s="386"/>
      <c r="AI4" s="386"/>
      <c r="AJ4" s="386"/>
    </row>
    <row r="5" spans="2:36" ht="15" x14ac:dyDescent="0.25">
      <c r="B5" s="853"/>
      <c r="C5" s="854"/>
      <c r="D5" s="1203" t="s">
        <v>1222</v>
      </c>
      <c r="E5" s="1204"/>
      <c r="F5" s="1207" t="s">
        <v>1223</v>
      </c>
      <c r="G5" s="1056"/>
    </row>
    <row r="6" spans="2:36" ht="15" x14ac:dyDescent="0.25">
      <c r="B6" s="853"/>
      <c r="C6" s="854"/>
      <c r="D6" s="1205"/>
      <c r="E6" s="1206"/>
      <c r="F6" s="1208" t="s">
        <v>1224</v>
      </c>
      <c r="G6" s="1206"/>
    </row>
    <row r="7" spans="2:36" ht="90" x14ac:dyDescent="0.25">
      <c r="B7" s="855"/>
      <c r="C7" s="856"/>
      <c r="D7" s="857"/>
      <c r="E7" s="858" t="s">
        <v>1212</v>
      </c>
      <c r="F7" s="859"/>
      <c r="G7" s="858" t="s">
        <v>1213</v>
      </c>
    </row>
    <row r="8" spans="2:36" ht="15" x14ac:dyDescent="0.25">
      <c r="B8" s="390"/>
      <c r="C8" s="398"/>
      <c r="D8" s="852" t="s">
        <v>343</v>
      </c>
      <c r="E8" s="852" t="s">
        <v>585</v>
      </c>
      <c r="F8" s="852" t="s">
        <v>587</v>
      </c>
      <c r="G8" s="852" t="s">
        <v>591</v>
      </c>
    </row>
    <row r="9" spans="2:36" ht="15" x14ac:dyDescent="0.25">
      <c r="B9" s="392" t="s">
        <v>602</v>
      </c>
      <c r="C9" s="399" t="s">
        <v>1225</v>
      </c>
      <c r="D9" s="393">
        <v>0</v>
      </c>
      <c r="E9" s="393">
        <v>0</v>
      </c>
      <c r="F9" s="393">
        <v>0</v>
      </c>
      <c r="G9" s="393">
        <v>0</v>
      </c>
    </row>
    <row r="10" spans="2:36" ht="15" x14ac:dyDescent="0.25">
      <c r="B10" s="391" t="s">
        <v>603</v>
      </c>
      <c r="C10" s="400" t="s">
        <v>1226</v>
      </c>
      <c r="D10" s="393">
        <v>0</v>
      </c>
      <c r="E10" s="393">
        <v>0</v>
      </c>
      <c r="F10" s="393">
        <v>0</v>
      </c>
      <c r="G10" s="393">
        <v>0</v>
      </c>
    </row>
    <row r="11" spans="2:36" ht="15" x14ac:dyDescent="0.25">
      <c r="B11" s="391" t="s">
        <v>604</v>
      </c>
      <c r="C11" s="400" t="s">
        <v>949</v>
      </c>
      <c r="D11" s="393">
        <v>0</v>
      </c>
      <c r="E11" s="393">
        <v>0</v>
      </c>
      <c r="F11" s="393">
        <v>0</v>
      </c>
      <c r="G11" s="393">
        <v>0</v>
      </c>
    </row>
    <row r="12" spans="2:36" ht="15" x14ac:dyDescent="0.25">
      <c r="B12" s="391" t="s">
        <v>605</v>
      </c>
      <c r="C12" s="400" t="s">
        <v>598</v>
      </c>
      <c r="D12" s="393">
        <v>0</v>
      </c>
      <c r="E12" s="393">
        <v>0</v>
      </c>
      <c r="F12" s="393">
        <v>0</v>
      </c>
      <c r="G12" s="393">
        <v>0</v>
      </c>
    </row>
    <row r="13" spans="2:36" ht="30" x14ac:dyDescent="0.25">
      <c r="B13" s="391" t="s">
        <v>606</v>
      </c>
      <c r="C13" s="401" t="s">
        <v>1215</v>
      </c>
      <c r="D13" s="393">
        <v>0</v>
      </c>
      <c r="E13" s="393">
        <v>0</v>
      </c>
      <c r="F13" s="393">
        <v>0</v>
      </c>
      <c r="G13" s="393">
        <v>0</v>
      </c>
    </row>
    <row r="14" spans="2:36" ht="15" x14ac:dyDescent="0.25">
      <c r="B14" s="391" t="s">
        <v>607</v>
      </c>
      <c r="C14" s="402" t="s">
        <v>1216</v>
      </c>
      <c r="D14" s="393">
        <v>0</v>
      </c>
      <c r="E14" s="393">
        <v>0</v>
      </c>
      <c r="F14" s="393">
        <v>0</v>
      </c>
      <c r="G14" s="393">
        <v>0</v>
      </c>
    </row>
    <row r="15" spans="2:36" ht="15" x14ac:dyDescent="0.25">
      <c r="B15" s="391" t="s">
        <v>608</v>
      </c>
      <c r="C15" s="401" t="s">
        <v>1217</v>
      </c>
      <c r="D15" s="393">
        <v>0</v>
      </c>
      <c r="E15" s="393">
        <v>0</v>
      </c>
      <c r="F15" s="393">
        <v>0</v>
      </c>
      <c r="G15" s="393">
        <v>0</v>
      </c>
    </row>
    <row r="16" spans="2:36" ht="15" x14ac:dyDescent="0.25">
      <c r="B16" s="391" t="s">
        <v>609</v>
      </c>
      <c r="C16" s="401" t="s">
        <v>1218</v>
      </c>
      <c r="D16" s="393">
        <v>0</v>
      </c>
      <c r="E16" s="393">
        <v>0</v>
      </c>
      <c r="F16" s="393">
        <v>0</v>
      </c>
      <c r="G16" s="393">
        <v>0</v>
      </c>
    </row>
    <row r="17" spans="2:7" ht="15" x14ac:dyDescent="0.25">
      <c r="B17" s="391" t="s">
        <v>610</v>
      </c>
      <c r="C17" s="401" t="s">
        <v>1219</v>
      </c>
      <c r="D17" s="393">
        <v>0</v>
      </c>
      <c r="E17" s="393">
        <v>0</v>
      </c>
      <c r="F17" s="393">
        <v>0</v>
      </c>
      <c r="G17" s="393">
        <v>0</v>
      </c>
    </row>
    <row r="18" spans="2:7" ht="15" x14ac:dyDescent="0.25">
      <c r="B18" s="391" t="s">
        <v>611</v>
      </c>
      <c r="C18" s="400" t="s">
        <v>1227</v>
      </c>
      <c r="D18" s="393">
        <v>0</v>
      </c>
      <c r="E18" s="393">
        <v>0</v>
      </c>
      <c r="F18" s="393">
        <v>0</v>
      </c>
      <c r="G18" s="393">
        <v>0</v>
      </c>
    </row>
    <row r="19" spans="2:7" ht="15" x14ac:dyDescent="0.25">
      <c r="B19" s="391" t="s">
        <v>1228</v>
      </c>
      <c r="C19" s="400" t="s">
        <v>1229</v>
      </c>
      <c r="D19" s="393">
        <v>0</v>
      </c>
      <c r="E19" s="393">
        <v>0</v>
      </c>
      <c r="F19" s="393">
        <v>0</v>
      </c>
      <c r="G19" s="393">
        <v>0</v>
      </c>
    </row>
    <row r="20" spans="2:7" ht="30" x14ac:dyDescent="0.25">
      <c r="B20" s="392" t="s">
        <v>1230</v>
      </c>
      <c r="C20" s="399" t="s">
        <v>1231</v>
      </c>
      <c r="D20" s="393">
        <v>0</v>
      </c>
      <c r="E20" s="393">
        <v>0</v>
      </c>
      <c r="F20" s="393">
        <v>0</v>
      </c>
      <c r="G20" s="393">
        <v>0</v>
      </c>
    </row>
    <row r="21" spans="2:7" ht="45" x14ac:dyDescent="0.25">
      <c r="B21" s="392">
        <v>241</v>
      </c>
      <c r="C21" s="399" t="s">
        <v>1232</v>
      </c>
      <c r="D21" s="394"/>
      <c r="E21" s="394"/>
      <c r="F21" s="393">
        <v>0</v>
      </c>
      <c r="G21" s="393">
        <v>0</v>
      </c>
    </row>
    <row r="22" spans="2:7" ht="30" x14ac:dyDescent="0.25">
      <c r="B22" s="392">
        <v>250</v>
      </c>
      <c r="C22" s="403" t="s">
        <v>1233</v>
      </c>
      <c r="D22" s="393">
        <v>0</v>
      </c>
      <c r="E22" s="393">
        <v>0</v>
      </c>
      <c r="F22" s="394"/>
      <c r="G22" s="394"/>
    </row>
    <row r="23" spans="2:7" x14ac:dyDescent="0.25">
      <c r="C23" s="404"/>
    </row>
  </sheetData>
  <mergeCells count="3">
    <mergeCell ref="D5:E6"/>
    <mergeCell ref="F5:G5"/>
    <mergeCell ref="F6:G6"/>
  </mergeCells>
  <conditionalFormatting sqref="D19:F22">
    <cfRule type="cellIs" dxfId="4" priority="1" stopIfTrue="1" operator="lessThan">
      <formula>0</formula>
    </cfRule>
  </conditionalFormatting>
  <conditionalFormatting sqref="D3:J3 E5:F6 D5:D18 F7:F18 E8:E18 G8:G22 H9:H22">
    <cfRule type="cellIs" dxfId="3" priority="2" stopIfTrue="1" operator="lessThan">
      <formula>0</formula>
    </cfRule>
  </conditionalFormatting>
  <hyperlinks>
    <hyperlink ref="B2" location="Indhold!B67" display="Skema EU AE2 - Modtaget sikkerhedsstillelse og egne udstedte gældsværdipapirer" xr:uid="{87377063-0971-4E58-8BB9-02B00E460AE7}"/>
  </hyperlinks>
  <pageMargins left="0.70866141732283472" right="0.70866141732283472" top="0.74803149606299213" bottom="0.74803149606299213" header="0.31496062992125984" footer="0.31496062992125984"/>
  <pageSetup paperSize="9" scale="85" orientation="landscape" r:id="rId1"/>
  <headerFooter>
    <oddHeader>&amp;CDA
Bilag XXXV</oddHeader>
    <oddFooter>&amp;C&amp;P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D6ABF-989D-4136-9912-D8618606AACC}">
  <sheetPr>
    <tabColor rgb="FF0070C0"/>
  </sheetPr>
  <dimension ref="B2:R11"/>
  <sheetViews>
    <sheetView showGridLines="0" zoomScaleNormal="100" workbookViewId="0">
      <selection activeCell="B2" sqref="B2"/>
    </sheetView>
  </sheetViews>
  <sheetFormatPr defaultColWidth="8.85546875" defaultRowHeight="12.75" x14ac:dyDescent="0.25"/>
  <cols>
    <col min="1" max="1" width="8.85546875" style="386"/>
    <col min="2" max="2" width="5.7109375" style="386" customWidth="1"/>
    <col min="3" max="3" width="72" style="386" customWidth="1"/>
    <col min="4" max="8" width="17.7109375" style="386" customWidth="1"/>
    <col min="9" max="9" width="19.42578125" style="386" customWidth="1"/>
    <col min="10" max="11" width="17.7109375" style="386" customWidth="1"/>
    <col min="12" max="12" width="13.7109375" style="386" customWidth="1"/>
    <col min="13" max="16384" width="8.85546875" style="386"/>
  </cols>
  <sheetData>
    <row r="2" spans="2:18" ht="20.100000000000001" customHeight="1" x14ac:dyDescent="0.3">
      <c r="B2" s="866" t="s">
        <v>1234</v>
      </c>
      <c r="D2" s="416"/>
      <c r="E2" s="416"/>
      <c r="F2" s="416"/>
      <c r="G2" s="416"/>
      <c r="H2" s="416"/>
      <c r="I2" s="416"/>
      <c r="J2" s="416"/>
      <c r="K2" s="416"/>
      <c r="L2" s="416"/>
      <c r="M2" s="416"/>
      <c r="N2" s="416"/>
      <c r="O2" s="416"/>
      <c r="P2" s="416"/>
      <c r="Q2" s="416"/>
      <c r="R2" s="416"/>
    </row>
    <row r="3" spans="2:18" ht="15" customHeight="1" x14ac:dyDescent="0.25">
      <c r="C3" s="397"/>
      <c r="D3" s="387"/>
      <c r="E3" s="387"/>
      <c r="F3" s="387"/>
      <c r="G3" s="387"/>
      <c r="H3" s="387"/>
    </row>
    <row r="4" spans="2:18" ht="15" customHeight="1" x14ac:dyDescent="0.25">
      <c r="C4" s="397"/>
      <c r="D4" s="387"/>
      <c r="E4" s="387"/>
      <c r="F4" s="387"/>
      <c r="G4" s="387"/>
      <c r="H4" s="387"/>
    </row>
    <row r="5" spans="2:18" ht="150" customHeight="1" x14ac:dyDescent="0.25">
      <c r="B5" s="860"/>
      <c r="C5" s="861"/>
      <c r="D5" s="862" t="s">
        <v>1235</v>
      </c>
      <c r="E5" s="863" t="s">
        <v>1282</v>
      </c>
      <c r="F5" s="407"/>
      <c r="G5" s="407"/>
    </row>
    <row r="6" spans="2:18" ht="15.75" x14ac:dyDescent="0.25">
      <c r="B6" s="405"/>
      <c r="C6" s="406"/>
      <c r="D6" s="852" t="s">
        <v>343</v>
      </c>
      <c r="E6" s="852" t="s">
        <v>585</v>
      </c>
      <c r="F6" s="408"/>
      <c r="G6" s="408"/>
    </row>
    <row r="7" spans="2:18" ht="15" customHeight="1" x14ac:dyDescent="0.25">
      <c r="B7" s="392" t="s">
        <v>343</v>
      </c>
      <c r="C7" s="403" t="s">
        <v>1236</v>
      </c>
      <c r="D7" s="409">
        <v>0</v>
      </c>
      <c r="E7" s="409">
        <v>0</v>
      </c>
      <c r="F7" s="396"/>
      <c r="G7" s="396"/>
    </row>
    <row r="8" spans="2:18" ht="17.25" customHeight="1" x14ac:dyDescent="0.25">
      <c r="B8" s="410"/>
      <c r="C8" s="411"/>
    </row>
    <row r="10" spans="2:18" ht="14.25" x14ac:dyDescent="0.25">
      <c r="B10" s="412"/>
      <c r="C10" s="413"/>
      <c r="D10" s="413"/>
      <c r="E10" s="413"/>
      <c r="F10" s="413"/>
      <c r="G10" s="413"/>
      <c r="H10" s="413"/>
    </row>
    <row r="11" spans="2:18" x14ac:dyDescent="0.25">
      <c r="C11" s="404"/>
    </row>
  </sheetData>
  <conditionalFormatting sqref="D3:G7">
    <cfRule type="cellIs" dxfId="2" priority="1" stopIfTrue="1" operator="lessThan">
      <formula>0</formula>
    </cfRule>
  </conditionalFormatting>
  <hyperlinks>
    <hyperlink ref="B2" location="Indhold!B68" display="Skema EU AE3 – Behæftelseskilder" xr:uid="{BCC74852-DCFB-4444-BD12-8C9C867CD548}"/>
  </hyperlinks>
  <pageMargins left="0.70866141732283472" right="0.70866141732283472" top="0.74803149606299213" bottom="0.74803149606299213" header="0.31496062992125984" footer="0.31496062992125984"/>
  <pageSetup paperSize="9" orientation="landscape" r:id="rId1"/>
  <headerFooter>
    <oddHeader>&amp;CDA
Bilag XXXV</oddHeader>
    <oddFooter>&amp;C&amp;P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2B7CA-8A7F-4F4D-80D2-9B48895DBF33}">
  <sheetPr>
    <tabColor rgb="FFFF0000"/>
  </sheetPr>
  <dimension ref="A2:D7"/>
  <sheetViews>
    <sheetView showGridLines="0" zoomScaleNormal="100" workbookViewId="0">
      <selection activeCell="A2" sqref="A2"/>
    </sheetView>
  </sheetViews>
  <sheetFormatPr defaultRowHeight="15" x14ac:dyDescent="0.25"/>
  <cols>
    <col min="1" max="1" width="4.5703125" customWidth="1"/>
    <col min="2" max="2" width="68.140625" customWidth="1"/>
    <col min="3" max="3" width="21.140625" customWidth="1"/>
    <col min="4" max="4" width="32.140625" customWidth="1"/>
  </cols>
  <sheetData>
    <row r="2" spans="1:4" x14ac:dyDescent="0.25">
      <c r="A2" s="866" t="s">
        <v>104</v>
      </c>
    </row>
    <row r="5" spans="1:4" x14ac:dyDescent="0.25">
      <c r="B5" s="34"/>
      <c r="C5" s="16" t="s">
        <v>103</v>
      </c>
      <c r="D5" s="16" t="s">
        <v>102</v>
      </c>
    </row>
    <row r="6" spans="1:4" x14ac:dyDescent="0.25">
      <c r="B6" s="34"/>
      <c r="C6" s="16" t="s">
        <v>101</v>
      </c>
      <c r="D6" s="16" t="s">
        <v>100</v>
      </c>
    </row>
    <row r="7" spans="1:4" ht="30" x14ac:dyDescent="0.25">
      <c r="A7" s="16">
        <v>1</v>
      </c>
      <c r="B7" s="33" t="s">
        <v>99</v>
      </c>
      <c r="C7" s="16"/>
      <c r="D7" s="16"/>
    </row>
  </sheetData>
  <hyperlinks>
    <hyperlink ref="A2" location="Indhold!B71" display="Skema EU INS1 – Forsikringsinteresser" xr:uid="{26C62F76-6326-4FC7-B4FE-E81F2E47E68E}"/>
  </hyperlinks>
  <pageMargins left="0.70866141732283472" right="0.70866141732283472" top="0.74803149606299213" bottom="0.74803149606299213" header="0.31496062992125984" footer="0.31496062992125984"/>
  <pageSetup paperSize="9" orientation="landscape" r:id="rId1"/>
  <headerFooter>
    <oddHeader>&amp;CDA
Bilag I</oddHeader>
    <oddFooter>&amp;C&amp;P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FAF0F-3E69-41E4-90F9-7234A0C0230D}">
  <sheetPr>
    <tabColor rgb="FFFF0000"/>
  </sheetPr>
  <dimension ref="A3:C10"/>
  <sheetViews>
    <sheetView showGridLines="0" zoomScaleNormal="100" workbookViewId="0">
      <selection activeCell="A3" sqref="A3"/>
    </sheetView>
  </sheetViews>
  <sheetFormatPr defaultRowHeight="15" x14ac:dyDescent="0.25"/>
  <cols>
    <col min="1" max="1" width="6.140625" customWidth="1"/>
    <col min="2" max="2" width="74.140625" customWidth="1"/>
    <col min="3" max="3" width="19.140625" customWidth="1"/>
  </cols>
  <sheetData>
    <row r="3" spans="1:3" x14ac:dyDescent="0.25">
      <c r="A3" s="866" t="s">
        <v>108</v>
      </c>
    </row>
    <row r="7" spans="1:3" x14ac:dyDescent="0.25">
      <c r="C7" s="16" t="s">
        <v>103</v>
      </c>
    </row>
    <row r="8" spans="1:3" x14ac:dyDescent="0.25">
      <c r="A8" s="37"/>
      <c r="B8" s="36"/>
      <c r="C8" s="16" t="s">
        <v>107</v>
      </c>
    </row>
    <row r="9" spans="1:3" ht="15.75" customHeight="1" x14ac:dyDescent="0.25">
      <c r="A9" s="16">
        <v>1</v>
      </c>
      <c r="B9" s="35" t="s">
        <v>106</v>
      </c>
      <c r="C9" s="16"/>
    </row>
    <row r="10" spans="1:3" x14ac:dyDescent="0.25">
      <c r="A10" s="16">
        <v>2</v>
      </c>
      <c r="B10" s="35" t="s">
        <v>105</v>
      </c>
      <c r="C10" s="16"/>
    </row>
  </sheetData>
  <hyperlinks>
    <hyperlink ref="A3" location="Indhold!B72" display="Skema EU INS2 – Finansielle konglomerater — Oplysninger om kapitalgrundlag og kapitalprocent" xr:uid="{1ED15F92-4EA2-407D-9DAB-EA141B4C120B}"/>
  </hyperlinks>
  <pageMargins left="0.70866141732283472" right="0.70866141732283472" top="0.74803149606299213" bottom="0.74803149606299213" header="0.31496062992125984" footer="0.31496062992125984"/>
  <pageSetup paperSize="9" orientation="landscape" r:id="rId1"/>
  <headerFooter>
    <oddHeader>&amp;CDA
Bilag I</oddHeader>
    <oddFooter>&amp;C&amp;P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1B8D9-E7C8-464B-839B-A5F710E8B492}">
  <sheetPr>
    <tabColor rgb="FFFF0000"/>
    <pageSetUpPr fitToPage="1"/>
  </sheetPr>
  <dimension ref="A2:M19"/>
  <sheetViews>
    <sheetView showGridLines="0" zoomScaleNormal="100" workbookViewId="0">
      <selection activeCell="B2" sqref="B2"/>
    </sheetView>
  </sheetViews>
  <sheetFormatPr defaultColWidth="11.42578125" defaultRowHeight="15" x14ac:dyDescent="0.25"/>
  <cols>
    <col min="1" max="1" width="4" customWidth="1"/>
    <col min="2" max="2" width="19.28515625" customWidth="1"/>
    <col min="3" max="3" width="5.42578125" customWidth="1"/>
    <col min="4" max="4" width="6.42578125" customWidth="1"/>
    <col min="5" max="5" width="8" customWidth="1"/>
    <col min="6" max="6" width="5.28515625" customWidth="1"/>
    <col min="7" max="7" width="9.7109375" customWidth="1"/>
    <col min="8" max="8" width="10.42578125" customWidth="1"/>
    <col min="9" max="9" width="10.7109375" customWidth="1"/>
    <col min="10" max="10" width="12.140625" customWidth="1"/>
    <col min="11" max="11" width="9.28515625" customWidth="1"/>
    <col min="12" max="12" width="12.140625" customWidth="1"/>
  </cols>
  <sheetData>
    <row r="2" spans="1:13" x14ac:dyDescent="0.25">
      <c r="B2" s="866" t="s">
        <v>176</v>
      </c>
    </row>
    <row r="3" spans="1:13" x14ac:dyDescent="0.25">
      <c r="B3" s="62" t="s">
        <v>177</v>
      </c>
    </row>
    <row r="4" spans="1:13" x14ac:dyDescent="0.25">
      <c r="A4" s="63"/>
    </row>
    <row r="5" spans="1:13" x14ac:dyDescent="0.25">
      <c r="A5" s="64"/>
      <c r="B5" s="65"/>
      <c r="C5" s="66" t="s">
        <v>103</v>
      </c>
      <c r="D5" s="66" t="s">
        <v>102</v>
      </c>
      <c r="E5" s="66" t="s">
        <v>97</v>
      </c>
      <c r="F5" s="66" t="s">
        <v>96</v>
      </c>
      <c r="G5" s="66" t="s">
        <v>95</v>
      </c>
      <c r="H5" s="67" t="s">
        <v>178</v>
      </c>
      <c r="I5" s="67" t="s">
        <v>179</v>
      </c>
      <c r="J5" s="66" t="s">
        <v>111</v>
      </c>
      <c r="K5" s="66" t="s">
        <v>112</v>
      </c>
      <c r="L5" s="66" t="s">
        <v>164</v>
      </c>
      <c r="M5" s="15"/>
    </row>
    <row r="6" spans="1:13" ht="42.2" customHeight="1" x14ac:dyDescent="0.25">
      <c r="A6" s="64"/>
      <c r="B6" s="65"/>
      <c r="C6" s="1209" t="s">
        <v>180</v>
      </c>
      <c r="D6" s="1210"/>
      <c r="E6" s="1210"/>
      <c r="F6" s="1210"/>
      <c r="G6" s="1211"/>
      <c r="H6" s="1212" t="s">
        <v>1246</v>
      </c>
      <c r="I6" s="1213"/>
      <c r="J6" s="1214" t="s">
        <v>1247</v>
      </c>
      <c r="K6" s="68"/>
      <c r="L6" s="69"/>
      <c r="M6" s="15"/>
    </row>
    <row r="7" spans="1:13" ht="67.5" x14ac:dyDescent="0.25">
      <c r="A7" s="64"/>
      <c r="B7" s="70" t="s">
        <v>181</v>
      </c>
      <c r="C7" s="66" t="s">
        <v>182</v>
      </c>
      <c r="D7" s="66" t="s">
        <v>183</v>
      </c>
      <c r="E7" s="66" t="s">
        <v>184</v>
      </c>
      <c r="F7" s="66" t="s">
        <v>185</v>
      </c>
      <c r="G7" s="66" t="s">
        <v>186</v>
      </c>
      <c r="H7" s="67" t="s">
        <v>187</v>
      </c>
      <c r="I7" s="67" t="s">
        <v>1248</v>
      </c>
      <c r="J7" s="1215"/>
      <c r="K7" s="67" t="s">
        <v>1249</v>
      </c>
      <c r="L7" s="67" t="s">
        <v>1250</v>
      </c>
      <c r="M7" s="15"/>
    </row>
    <row r="8" spans="1:13" ht="26.25" customHeight="1" x14ac:dyDescent="0.25">
      <c r="A8" s="66">
        <v>1</v>
      </c>
      <c r="B8" s="70" t="s">
        <v>188</v>
      </c>
      <c r="C8" s="71">
        <v>0</v>
      </c>
      <c r="D8" s="71">
        <v>0</v>
      </c>
      <c r="E8" s="71">
        <v>0</v>
      </c>
      <c r="F8" s="71">
        <v>0</v>
      </c>
      <c r="G8" s="71">
        <v>0</v>
      </c>
      <c r="H8" s="71">
        <v>0</v>
      </c>
      <c r="I8" s="71">
        <v>0</v>
      </c>
      <c r="J8" s="71">
        <v>0</v>
      </c>
      <c r="K8" s="71">
        <v>0</v>
      </c>
      <c r="L8" s="71">
        <v>0</v>
      </c>
      <c r="M8" s="15"/>
    </row>
    <row r="9" spans="1:13" ht="26.25" customHeight="1" x14ac:dyDescent="0.25">
      <c r="A9" s="72">
        <v>2</v>
      </c>
      <c r="B9" s="73" t="s">
        <v>1</v>
      </c>
      <c r="C9" s="74"/>
      <c r="D9" s="74"/>
      <c r="E9" s="74"/>
      <c r="F9" s="74"/>
      <c r="G9" s="74"/>
      <c r="H9" s="71">
        <v>0</v>
      </c>
      <c r="I9" s="71">
        <v>0</v>
      </c>
      <c r="J9" s="75"/>
      <c r="K9" s="74"/>
      <c r="L9" s="74"/>
      <c r="M9" s="15"/>
    </row>
    <row r="10" spans="1:13" ht="22.5" x14ac:dyDescent="0.25">
      <c r="A10" s="66">
        <v>3</v>
      </c>
      <c r="B10" s="76" t="s">
        <v>189</v>
      </c>
      <c r="C10" s="71">
        <v>0</v>
      </c>
      <c r="D10" s="71">
        <v>0</v>
      </c>
      <c r="E10" s="71">
        <v>0</v>
      </c>
      <c r="F10" s="71">
        <v>0</v>
      </c>
      <c r="G10" s="71">
        <v>0</v>
      </c>
      <c r="H10" s="71">
        <v>0</v>
      </c>
      <c r="I10" s="71">
        <v>0</v>
      </c>
      <c r="J10" s="71">
        <v>0</v>
      </c>
      <c r="K10" s="71">
        <v>0</v>
      </c>
      <c r="L10" s="71">
        <v>0</v>
      </c>
      <c r="M10" s="15"/>
    </row>
    <row r="11" spans="1:13" x14ac:dyDescent="0.25">
      <c r="A11" s="66">
        <v>4</v>
      </c>
      <c r="B11" s="76" t="s">
        <v>190</v>
      </c>
      <c r="C11" s="71">
        <v>0</v>
      </c>
      <c r="D11" s="71">
        <v>0</v>
      </c>
      <c r="E11" s="71">
        <v>0</v>
      </c>
      <c r="F11" s="71">
        <v>0</v>
      </c>
      <c r="G11" s="71">
        <v>0</v>
      </c>
      <c r="H11" s="71">
        <v>0</v>
      </c>
      <c r="I11" s="71">
        <v>0</v>
      </c>
      <c r="J11" s="71">
        <v>0</v>
      </c>
      <c r="K11" s="71">
        <v>0</v>
      </c>
      <c r="L11" s="71">
        <v>0</v>
      </c>
      <c r="M11" s="15"/>
    </row>
    <row r="12" spans="1:13" x14ac:dyDescent="0.25">
      <c r="A12" s="66">
        <v>5</v>
      </c>
      <c r="B12" s="76" t="s">
        <v>191</v>
      </c>
      <c r="C12" s="71">
        <v>0</v>
      </c>
      <c r="D12" s="71">
        <v>0</v>
      </c>
      <c r="E12" s="71">
        <v>0</v>
      </c>
      <c r="F12" s="71">
        <v>0</v>
      </c>
      <c r="G12" s="71">
        <v>0</v>
      </c>
      <c r="H12" s="71">
        <v>0</v>
      </c>
      <c r="I12" s="71">
        <v>0</v>
      </c>
      <c r="J12" s="71">
        <v>0</v>
      </c>
      <c r="K12" s="71">
        <v>0</v>
      </c>
      <c r="L12" s="71">
        <v>0</v>
      </c>
      <c r="M12" s="15"/>
    </row>
    <row r="13" spans="1:13" x14ac:dyDescent="0.25">
      <c r="A13" s="66">
        <v>6</v>
      </c>
      <c r="B13" s="76" t="s">
        <v>192</v>
      </c>
      <c r="C13" s="71">
        <v>0</v>
      </c>
      <c r="D13" s="71">
        <v>0</v>
      </c>
      <c r="E13" s="71">
        <v>0</v>
      </c>
      <c r="F13" s="71">
        <v>0</v>
      </c>
      <c r="G13" s="71">
        <v>0</v>
      </c>
      <c r="H13" s="71">
        <v>0</v>
      </c>
      <c r="I13" s="71">
        <v>0</v>
      </c>
      <c r="J13" s="71">
        <v>0</v>
      </c>
      <c r="K13" s="71">
        <v>0</v>
      </c>
      <c r="L13" s="71">
        <v>0</v>
      </c>
      <c r="M13" s="15"/>
    </row>
    <row r="14" spans="1:13" x14ac:dyDescent="0.25">
      <c r="A14" s="66">
        <v>7</v>
      </c>
      <c r="B14" s="76" t="s">
        <v>193</v>
      </c>
      <c r="C14" s="71">
        <v>0</v>
      </c>
      <c r="D14" s="71">
        <v>0</v>
      </c>
      <c r="E14" s="71">
        <v>0</v>
      </c>
      <c r="F14" s="71">
        <v>0</v>
      </c>
      <c r="G14" s="71">
        <v>0</v>
      </c>
      <c r="H14" s="71">
        <v>0</v>
      </c>
      <c r="I14" s="71">
        <v>0</v>
      </c>
      <c r="J14" s="71">
        <v>0</v>
      </c>
      <c r="K14" s="71">
        <v>0</v>
      </c>
      <c r="L14" s="71">
        <v>0</v>
      </c>
      <c r="M14" s="15"/>
    </row>
    <row r="15" spans="1:13" ht="26.25" customHeight="1" x14ac:dyDescent="0.25">
      <c r="A15" s="77">
        <v>8</v>
      </c>
      <c r="B15" s="73" t="s">
        <v>1</v>
      </c>
      <c r="C15" s="78"/>
      <c r="D15" s="78"/>
      <c r="E15" s="78"/>
      <c r="F15" s="78"/>
      <c r="G15" s="78"/>
      <c r="H15" s="78"/>
      <c r="I15" s="78"/>
      <c r="J15" s="79"/>
      <c r="K15" s="78"/>
      <c r="L15" s="78"/>
      <c r="M15" s="15"/>
    </row>
    <row r="16" spans="1:13" ht="26.25" customHeight="1" x14ac:dyDescent="0.25">
      <c r="A16" s="77">
        <v>9</v>
      </c>
      <c r="B16" s="73" t="s">
        <v>1</v>
      </c>
      <c r="C16" s="78"/>
      <c r="D16" s="78"/>
      <c r="E16" s="78"/>
      <c r="F16" s="78"/>
      <c r="G16" s="78"/>
      <c r="H16" s="78"/>
      <c r="I16" s="78"/>
      <c r="J16" s="79"/>
      <c r="K16" s="78"/>
      <c r="L16" s="78"/>
      <c r="M16" s="15"/>
    </row>
    <row r="17" spans="1:13" ht="22.5" x14ac:dyDescent="0.25">
      <c r="A17" s="66">
        <v>10</v>
      </c>
      <c r="B17" s="76" t="s">
        <v>1251</v>
      </c>
      <c r="C17" s="71">
        <v>0</v>
      </c>
      <c r="D17" s="71">
        <v>0</v>
      </c>
      <c r="E17" s="71">
        <v>0</v>
      </c>
      <c r="F17" s="71">
        <v>0</v>
      </c>
      <c r="G17" s="71">
        <v>0</v>
      </c>
      <c r="H17" s="71">
        <v>0</v>
      </c>
      <c r="I17" s="71">
        <v>0</v>
      </c>
      <c r="J17" s="71">
        <v>0</v>
      </c>
      <c r="K17" s="71">
        <v>0</v>
      </c>
      <c r="L17" s="71">
        <v>0</v>
      </c>
      <c r="M17" s="15"/>
    </row>
    <row r="18" spans="1:13" ht="26.25" customHeight="1" x14ac:dyDescent="0.25">
      <c r="A18" s="77">
        <v>11</v>
      </c>
      <c r="B18" s="73" t="s">
        <v>1</v>
      </c>
      <c r="C18" s="78"/>
      <c r="D18" s="78"/>
      <c r="E18" s="78"/>
      <c r="F18" s="78"/>
      <c r="G18" s="78"/>
      <c r="H18" s="78"/>
      <c r="I18" s="78"/>
      <c r="J18" s="79"/>
      <c r="K18" s="78"/>
      <c r="L18" s="78"/>
      <c r="M18" s="15"/>
    </row>
    <row r="19" spans="1:13" ht="33.75" x14ac:dyDescent="0.25">
      <c r="A19" s="66">
        <v>12</v>
      </c>
      <c r="B19" s="80" t="s">
        <v>194</v>
      </c>
      <c r="C19" s="81"/>
      <c r="D19" s="81"/>
      <c r="E19" s="81"/>
      <c r="F19" s="81"/>
      <c r="G19" s="81"/>
      <c r="H19" s="81"/>
      <c r="I19" s="81"/>
      <c r="J19" s="82">
        <v>0</v>
      </c>
      <c r="K19" s="83">
        <v>0</v>
      </c>
      <c r="L19" s="83">
        <v>0</v>
      </c>
      <c r="M19" s="15"/>
    </row>
  </sheetData>
  <mergeCells count="3">
    <mergeCell ref="C6:G6"/>
    <mergeCell ref="H6:I6"/>
    <mergeCell ref="J6:J7"/>
  </mergeCells>
  <hyperlinks>
    <hyperlink ref="B2" location="Indhold!B73" display="Skema EU PV1 – Justeringer som følge af forsigtig værdiansættelse (PVA)" xr:uid="{4CDA8026-6C21-4641-B980-76A036EDAFDD}"/>
  </hyperlinks>
  <pageMargins left="0.70866141732283472" right="0.70866141732283472" top="0.74803149606299213" bottom="0.74803149606299213" header="0.31496062992125984" footer="0.31496062992125984"/>
  <pageSetup paperSize="9" orientation="landscape" r:id="rId1"/>
  <headerFooter>
    <oddHeader>&amp;CDA
Bilag 5</oddHeader>
    <oddFooter>&amp;C&amp;P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D52EB-1349-4A8B-B55B-2C56D1F238F2}">
  <sheetPr>
    <tabColor rgb="FFFF0000"/>
  </sheetPr>
  <dimension ref="A3:O18"/>
  <sheetViews>
    <sheetView showGridLines="0" zoomScaleNormal="100" workbookViewId="0">
      <selection activeCell="B3" sqref="B3"/>
    </sheetView>
  </sheetViews>
  <sheetFormatPr defaultColWidth="9.140625" defaultRowHeight="15" x14ac:dyDescent="0.25"/>
  <cols>
    <col min="1" max="1" width="4.5703125" customWidth="1"/>
    <col min="2" max="2" width="16" customWidth="1"/>
    <col min="3" max="3" width="18.5703125" customWidth="1"/>
    <col min="4" max="4" width="15.5703125" customWidth="1"/>
    <col min="5" max="5" width="22.5703125" customWidth="1"/>
    <col min="6" max="6" width="21" customWidth="1"/>
    <col min="7" max="7" width="14.42578125" customWidth="1"/>
    <col min="8" max="8" width="11" customWidth="1"/>
    <col min="9" max="9" width="14" customWidth="1"/>
    <col min="10" max="10" width="25.85546875" bestFit="1" customWidth="1"/>
    <col min="11" max="11" width="27.85546875" customWidth="1"/>
    <col min="13" max="13" width="13.140625" customWidth="1"/>
    <col min="14" max="14" width="11.42578125" customWidth="1"/>
    <col min="15" max="15" width="14.5703125" customWidth="1"/>
  </cols>
  <sheetData>
    <row r="3" spans="1:15" x14ac:dyDescent="0.25">
      <c r="B3" s="866" t="s">
        <v>322</v>
      </c>
    </row>
    <row r="4" spans="1:15" ht="18.75" x14ac:dyDescent="0.25">
      <c r="B4" s="40"/>
    </row>
    <row r="6" spans="1:15" x14ac:dyDescent="0.25">
      <c r="A6" s="15"/>
      <c r="B6" s="15"/>
      <c r="C6" s="103" t="s">
        <v>103</v>
      </c>
      <c r="D6" s="103" t="s">
        <v>102</v>
      </c>
      <c r="E6" s="103" t="s">
        <v>97</v>
      </c>
      <c r="F6" s="103" t="s">
        <v>96</v>
      </c>
      <c r="G6" s="103" t="s">
        <v>95</v>
      </c>
      <c r="H6" s="103" t="s">
        <v>111</v>
      </c>
      <c r="I6" s="103" t="s">
        <v>112</v>
      </c>
      <c r="J6" s="103" t="s">
        <v>164</v>
      </c>
      <c r="K6" s="103" t="s">
        <v>323</v>
      </c>
      <c r="L6" s="103" t="s">
        <v>324</v>
      </c>
      <c r="M6" s="103" t="s">
        <v>325</v>
      </c>
      <c r="N6" s="103" t="s">
        <v>326</v>
      </c>
      <c r="O6" s="103" t="s">
        <v>327</v>
      </c>
    </row>
    <row r="7" spans="1:15" ht="15.75" customHeight="1" x14ac:dyDescent="0.25">
      <c r="A7" s="15"/>
      <c r="B7" s="15"/>
      <c r="C7" s="1219" t="s">
        <v>328</v>
      </c>
      <c r="D7" s="1220"/>
      <c r="E7" s="1219" t="s">
        <v>329</v>
      </c>
      <c r="F7" s="1220"/>
      <c r="G7" s="1216" t="s">
        <v>330</v>
      </c>
      <c r="H7" s="1216" t="s">
        <v>331</v>
      </c>
      <c r="I7" s="1219" t="s">
        <v>332</v>
      </c>
      <c r="J7" s="1223"/>
      <c r="K7" s="1223"/>
      <c r="L7" s="1220"/>
      <c r="M7" s="1216" t="s">
        <v>333</v>
      </c>
      <c r="N7" s="1216" t="s">
        <v>334</v>
      </c>
      <c r="O7" s="1216" t="s">
        <v>335</v>
      </c>
    </row>
    <row r="8" spans="1:15" x14ac:dyDescent="0.25">
      <c r="A8" s="15"/>
      <c r="B8" s="15"/>
      <c r="C8" s="1221"/>
      <c r="D8" s="1222"/>
      <c r="E8" s="1221"/>
      <c r="F8" s="1222"/>
      <c r="G8" s="1217"/>
      <c r="H8" s="1217"/>
      <c r="I8" s="1221"/>
      <c r="J8" s="1224"/>
      <c r="K8" s="1224"/>
      <c r="L8" s="1225"/>
      <c r="M8" s="1217"/>
      <c r="N8" s="1217"/>
      <c r="O8" s="1217"/>
    </row>
    <row r="9" spans="1:15" ht="60" x14ac:dyDescent="0.25">
      <c r="A9" s="15"/>
      <c r="B9" s="15"/>
      <c r="C9" s="103" t="s">
        <v>336</v>
      </c>
      <c r="D9" s="103" t="s">
        <v>337</v>
      </c>
      <c r="E9" s="103" t="s">
        <v>338</v>
      </c>
      <c r="F9" s="103" t="s">
        <v>339</v>
      </c>
      <c r="G9" s="1218"/>
      <c r="H9" s="1218"/>
      <c r="I9" s="104" t="s">
        <v>340</v>
      </c>
      <c r="J9" s="104" t="s">
        <v>329</v>
      </c>
      <c r="K9" s="104" t="s">
        <v>341</v>
      </c>
      <c r="L9" s="105" t="s">
        <v>342</v>
      </c>
      <c r="M9" s="1218"/>
      <c r="N9" s="1218"/>
      <c r="O9" s="1218"/>
    </row>
    <row r="10" spans="1:15" ht="24" x14ac:dyDescent="0.25">
      <c r="A10" s="106" t="s">
        <v>343</v>
      </c>
      <c r="B10" s="107" t="s">
        <v>344</v>
      </c>
      <c r="C10" s="108"/>
      <c r="D10" s="108"/>
      <c r="E10" s="108"/>
      <c r="F10" s="108"/>
      <c r="G10" s="108"/>
      <c r="H10" s="108"/>
      <c r="I10" s="108"/>
      <c r="J10" s="108"/>
      <c r="K10" s="108"/>
      <c r="L10" s="108"/>
      <c r="M10" s="108"/>
      <c r="N10" s="109"/>
      <c r="O10" s="109"/>
    </row>
    <row r="11" spans="1:15" x14ac:dyDescent="0.25">
      <c r="A11" s="110"/>
      <c r="B11" s="111" t="s">
        <v>345</v>
      </c>
      <c r="C11" s="112"/>
      <c r="D11" s="112"/>
      <c r="E11" s="112"/>
      <c r="F11" s="112"/>
      <c r="G11" s="112"/>
      <c r="H11" s="113"/>
      <c r="I11" s="112"/>
      <c r="J11" s="112"/>
      <c r="K11" s="112"/>
      <c r="L11" s="112"/>
      <c r="M11" s="113"/>
      <c r="N11" s="112"/>
      <c r="O11" s="112"/>
    </row>
    <row r="12" spans="1:15" x14ac:dyDescent="0.25">
      <c r="A12" s="110"/>
      <c r="B12" s="111" t="s">
        <v>346</v>
      </c>
      <c r="C12" s="112"/>
      <c r="D12" s="112"/>
      <c r="E12" s="112"/>
      <c r="F12" s="112"/>
      <c r="G12" s="112"/>
      <c r="H12" s="113"/>
      <c r="I12" s="112"/>
      <c r="J12" s="112"/>
      <c r="K12" s="112"/>
      <c r="L12" s="112"/>
      <c r="M12" s="113"/>
      <c r="N12" s="112"/>
      <c r="O12" s="112"/>
    </row>
    <row r="13" spans="1:15" x14ac:dyDescent="0.25">
      <c r="A13" s="110"/>
      <c r="B13" s="114" t="s">
        <v>347</v>
      </c>
      <c r="C13" s="115"/>
      <c r="D13" s="115"/>
      <c r="E13" s="115"/>
      <c r="F13" s="115"/>
      <c r="G13" s="115"/>
      <c r="H13" s="115"/>
      <c r="I13" s="115"/>
      <c r="J13" s="115"/>
      <c r="K13" s="115"/>
      <c r="L13" s="115"/>
      <c r="M13" s="115"/>
      <c r="N13" s="115"/>
      <c r="O13" s="115"/>
    </row>
    <row r="14" spans="1:15" x14ac:dyDescent="0.25">
      <c r="A14" s="110"/>
      <c r="B14" s="114" t="s">
        <v>348</v>
      </c>
      <c r="C14" s="112"/>
      <c r="D14" s="112"/>
      <c r="E14" s="112"/>
      <c r="F14" s="112"/>
      <c r="G14" s="112"/>
      <c r="H14" s="113"/>
      <c r="I14" s="112"/>
      <c r="J14" s="112"/>
      <c r="K14" s="112"/>
      <c r="L14" s="112"/>
      <c r="M14" s="113"/>
      <c r="N14" s="112"/>
      <c r="O14" s="112"/>
    </row>
    <row r="15" spans="1:15" x14ac:dyDescent="0.25">
      <c r="A15" s="116" t="s">
        <v>349</v>
      </c>
      <c r="B15" s="114" t="s">
        <v>0</v>
      </c>
      <c r="C15" s="112"/>
      <c r="D15" s="112"/>
      <c r="E15" s="112"/>
      <c r="F15" s="112"/>
      <c r="G15" s="112"/>
      <c r="H15" s="113"/>
      <c r="I15" s="112"/>
      <c r="J15" s="112"/>
      <c r="K15" s="112"/>
      <c r="L15" s="112"/>
      <c r="M15" s="113"/>
      <c r="N15" s="112"/>
      <c r="O15" s="117"/>
    </row>
    <row r="18" spans="3:3" x14ac:dyDescent="0.25">
      <c r="C18" t="s">
        <v>350</v>
      </c>
    </row>
  </sheetData>
  <mergeCells count="8">
    <mergeCell ref="N7:N9"/>
    <mergeCell ref="O7:O9"/>
    <mergeCell ref="C7:D8"/>
    <mergeCell ref="E7:F8"/>
    <mergeCell ref="G7:G9"/>
    <mergeCell ref="H7:H9"/>
    <mergeCell ref="I7:L8"/>
    <mergeCell ref="M7:M9"/>
  </mergeCells>
  <conditionalFormatting sqref="C10:M15">
    <cfRule type="cellIs" dxfId="1" priority="1" stopIfTrue="1" operator="lessThan">
      <formula>0</formula>
    </cfRule>
  </conditionalFormatting>
  <conditionalFormatting sqref="N11:O15">
    <cfRule type="cellIs" dxfId="0" priority="2" stopIfTrue="1" operator="lessThan">
      <formula>0</formula>
    </cfRule>
  </conditionalFormatting>
  <hyperlinks>
    <hyperlink ref="B3" location="Indhold!B74" display="Skema EU-CCyB1 — Geografisk fordeling af krediteksponeringer, der er relevante for beregningen af den kontracykliske kapitalbuffer" xr:uid="{C82D85E3-482F-46AE-BC3F-7C98DCA4889B}"/>
  </hyperlinks>
  <pageMargins left="0.70866141732283472" right="0.70866141732283472" top="0.74803149606299213" bottom="0.74803149606299213" header="0.31496062992125984" footer="0.31496062992125984"/>
  <pageSetup paperSize="9" scale="50" orientation="landscape" r:id="rId1"/>
  <headerFooter>
    <oddHeader>&amp;CDA
Bilag IX</oddHeader>
    <oddFooter>&amp;C&amp;P</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46C59-CFA8-40A2-9A64-726A59FCC45B}">
  <sheetPr>
    <tabColor rgb="FFFF0000"/>
  </sheetPr>
  <dimension ref="B2:E18"/>
  <sheetViews>
    <sheetView showGridLines="0" zoomScale="110" zoomScaleNormal="110" workbookViewId="0">
      <selection activeCell="B2" sqref="B2"/>
    </sheetView>
  </sheetViews>
  <sheetFormatPr defaultRowHeight="15" x14ac:dyDescent="0.25"/>
  <cols>
    <col min="1" max="1" width="7" customWidth="1"/>
    <col min="2" max="2" width="4.7109375" customWidth="1"/>
    <col min="3" max="3" width="58.5703125" customWidth="1"/>
    <col min="4" max="4" width="27.28515625" customWidth="1"/>
    <col min="5" max="5" width="29.140625" customWidth="1"/>
    <col min="7" max="7" width="3.28515625" customWidth="1"/>
    <col min="8" max="8" width="54.5703125" customWidth="1"/>
    <col min="9" max="9" width="25" customWidth="1"/>
  </cols>
  <sheetData>
    <row r="2" spans="2:5" x14ac:dyDescent="0.25">
      <c r="B2" s="866" t="s">
        <v>627</v>
      </c>
    </row>
    <row r="3" spans="2:5" ht="16.5" thickBot="1" x14ac:dyDescent="0.3">
      <c r="B3" s="164"/>
      <c r="C3" s="164"/>
      <c r="D3" s="165"/>
      <c r="E3" s="186"/>
    </row>
    <row r="4" spans="2:5" ht="16.5" thickBot="1" x14ac:dyDescent="0.3">
      <c r="B4" s="164"/>
      <c r="C4" s="165"/>
      <c r="D4" s="167" t="s">
        <v>103</v>
      </c>
      <c r="E4" s="187" t="s">
        <v>102</v>
      </c>
    </row>
    <row r="5" spans="2:5" ht="21.75" thickBot="1" x14ac:dyDescent="0.3">
      <c r="B5" s="164"/>
      <c r="C5" s="165"/>
      <c r="D5" s="188" t="s">
        <v>620</v>
      </c>
      <c r="E5" s="187" t="s">
        <v>628</v>
      </c>
    </row>
    <row r="6" spans="2:5" ht="25.5" customHeight="1" thickBot="1" x14ac:dyDescent="0.3">
      <c r="B6" s="189" t="s">
        <v>343</v>
      </c>
      <c r="C6" s="190" t="s">
        <v>621</v>
      </c>
      <c r="D6" s="419">
        <v>0</v>
      </c>
      <c r="E6" s="420"/>
    </row>
    <row r="7" spans="2:5" ht="25.5" customHeight="1" thickBot="1" x14ac:dyDescent="0.3">
      <c r="B7" s="175" t="s">
        <v>349</v>
      </c>
      <c r="C7" s="173" t="s">
        <v>622</v>
      </c>
      <c r="D7" s="419">
        <v>0</v>
      </c>
      <c r="E7" s="420"/>
    </row>
    <row r="8" spans="2:5" ht="25.5" customHeight="1" thickBot="1" x14ac:dyDescent="0.3">
      <c r="B8" s="175" t="s">
        <v>585</v>
      </c>
      <c r="C8" s="173" t="s">
        <v>623</v>
      </c>
      <c r="D8" s="419">
        <v>0</v>
      </c>
      <c r="E8" s="420"/>
    </row>
    <row r="9" spans="2:5" ht="25.5" customHeight="1" thickBot="1" x14ac:dyDescent="0.3">
      <c r="B9" s="175" t="s">
        <v>587</v>
      </c>
      <c r="C9" s="191" t="s">
        <v>629</v>
      </c>
      <c r="D9" s="419">
        <v>0</v>
      </c>
      <c r="E9" s="420"/>
    </row>
    <row r="10" spans="2:5" ht="25.5" customHeight="1" thickBot="1" x14ac:dyDescent="0.3">
      <c r="B10" s="175" t="s">
        <v>589</v>
      </c>
      <c r="C10" s="191" t="s">
        <v>630</v>
      </c>
      <c r="D10" s="421">
        <v>0</v>
      </c>
      <c r="E10" s="422"/>
    </row>
    <row r="11" spans="2:5" ht="25.5" customHeight="1" thickBot="1" x14ac:dyDescent="0.3">
      <c r="B11" s="175" t="s">
        <v>591</v>
      </c>
      <c r="C11" s="191" t="s">
        <v>631</v>
      </c>
      <c r="D11" s="423">
        <v>0</v>
      </c>
      <c r="E11" s="424">
        <v>0</v>
      </c>
    </row>
    <row r="12" spans="2:5" ht="25.5" customHeight="1" thickBot="1" x14ac:dyDescent="0.3">
      <c r="B12" s="175" t="s">
        <v>593</v>
      </c>
      <c r="C12" s="191" t="s">
        <v>632</v>
      </c>
      <c r="D12" s="421">
        <v>0</v>
      </c>
      <c r="E12" s="424">
        <v>0</v>
      </c>
    </row>
    <row r="13" spans="2:5" ht="25.5" customHeight="1" thickBot="1" x14ac:dyDescent="0.3">
      <c r="B13" s="175" t="s">
        <v>595</v>
      </c>
      <c r="C13" s="191" t="s">
        <v>633</v>
      </c>
      <c r="D13" s="421">
        <v>0</v>
      </c>
      <c r="E13" s="424">
        <v>0</v>
      </c>
    </row>
    <row r="14" spans="2:5" ht="25.5" customHeight="1" thickBot="1" x14ac:dyDescent="0.3">
      <c r="B14" s="175" t="s">
        <v>597</v>
      </c>
      <c r="C14" s="191" t="s">
        <v>634</v>
      </c>
      <c r="D14" s="421">
        <v>0</v>
      </c>
      <c r="E14" s="424">
        <v>0</v>
      </c>
    </row>
    <row r="15" spans="2:5" ht="25.5" customHeight="1" thickBot="1" x14ac:dyDescent="0.3">
      <c r="B15" s="175" t="s">
        <v>599</v>
      </c>
      <c r="C15" s="191" t="s">
        <v>624</v>
      </c>
      <c r="D15" s="421">
        <v>0</v>
      </c>
      <c r="E15" s="420"/>
    </row>
    <row r="16" spans="2:5" ht="25.5" customHeight="1" thickBot="1" x14ac:dyDescent="0.3">
      <c r="B16" s="175" t="s">
        <v>600</v>
      </c>
      <c r="C16" s="191" t="s">
        <v>625</v>
      </c>
      <c r="D16" s="421">
        <v>0</v>
      </c>
      <c r="E16" s="420"/>
    </row>
    <row r="17" spans="2:5" ht="25.5" customHeight="1" thickBot="1" x14ac:dyDescent="0.3">
      <c r="B17" s="184" t="s">
        <v>601</v>
      </c>
      <c r="C17" s="185" t="s">
        <v>635</v>
      </c>
      <c r="D17" s="421">
        <v>0</v>
      </c>
      <c r="E17" s="425"/>
    </row>
    <row r="18" spans="2:5" ht="25.5" customHeight="1" thickBot="1" x14ac:dyDescent="0.3">
      <c r="B18" s="192" t="s">
        <v>602</v>
      </c>
      <c r="C18" s="193" t="s">
        <v>626</v>
      </c>
      <c r="D18" s="421">
        <v>0</v>
      </c>
      <c r="E18" s="420"/>
    </row>
  </sheetData>
  <hyperlinks>
    <hyperlink ref="B2" location="Indhold!B75" display="Skema EU CR2a: Ændringer i beholdningen af misligholdte lån og forskud og akkumulerede inddrevne nettobeløb i forbindelse hermed" xr:uid="{114CBBD1-E8D2-4428-AEDC-CC11BC52CEA6}"/>
  </hyperlinks>
  <pageMargins left="0.70866141732283472" right="0.70866141732283472" top="0.74803149606299213" bottom="0.74803149606299213" header="0.31496062992125984" footer="0.31496062992125984"/>
  <pageSetup paperSize="9" orientation="landscape" r:id="rId1"/>
  <headerFooter>
    <oddHeader>&amp;CDA
Bilag XV</oddHeader>
    <oddFooter>&amp;C&amp;P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3B02D-6245-4083-A0B2-5A69B3CCBA41}">
  <sheetPr>
    <tabColor rgb="FFFF0000"/>
  </sheetPr>
  <dimension ref="B2:D9"/>
  <sheetViews>
    <sheetView showGridLines="0" zoomScaleNormal="100" workbookViewId="0">
      <selection activeCell="B2" sqref="B2"/>
    </sheetView>
  </sheetViews>
  <sheetFormatPr defaultRowHeight="15" x14ac:dyDescent="0.25"/>
  <cols>
    <col min="2" max="2" width="4.28515625" customWidth="1"/>
    <col min="3" max="3" width="41.85546875" customWidth="1"/>
    <col min="4" max="4" width="49.42578125" customWidth="1"/>
  </cols>
  <sheetData>
    <row r="2" spans="2:4" x14ac:dyDescent="0.25">
      <c r="B2" s="866" t="s">
        <v>643</v>
      </c>
    </row>
    <row r="3" spans="2:4" ht="16.5" thickBot="1" x14ac:dyDescent="0.3">
      <c r="B3" s="437"/>
      <c r="C3" s="437"/>
      <c r="D3" s="165"/>
    </row>
    <row r="4" spans="2:4" ht="16.5" thickBot="1" x14ac:dyDescent="0.3">
      <c r="B4" s="166"/>
      <c r="C4" s="166"/>
      <c r="D4" s="167" t="s">
        <v>103</v>
      </c>
    </row>
    <row r="5" spans="2:4" ht="36" customHeight="1" x14ac:dyDescent="0.25">
      <c r="B5" s="166"/>
      <c r="C5" s="166"/>
      <c r="D5" s="1226" t="s">
        <v>644</v>
      </c>
    </row>
    <row r="6" spans="2:4" ht="16.5" thickBot="1" x14ac:dyDescent="0.3">
      <c r="B6" s="166"/>
      <c r="C6" s="166"/>
      <c r="D6" s="1227"/>
    </row>
    <row r="7" spans="2:4" ht="29.25" customHeight="1" thickBot="1" x14ac:dyDescent="0.3">
      <c r="B7" s="171" t="s">
        <v>343</v>
      </c>
      <c r="C7" s="172" t="s">
        <v>645</v>
      </c>
      <c r="D7" s="426">
        <v>0</v>
      </c>
    </row>
    <row r="8" spans="2:4" ht="50.25" customHeight="1" thickBot="1" x14ac:dyDescent="0.3">
      <c r="B8" s="175" t="s">
        <v>349</v>
      </c>
      <c r="C8" s="173" t="s">
        <v>646</v>
      </c>
      <c r="D8" s="426">
        <v>0</v>
      </c>
    </row>
    <row r="9" spans="2:4" ht="63" customHeight="1" x14ac:dyDescent="0.25">
      <c r="B9" s="1228"/>
      <c r="C9" s="1228"/>
      <c r="D9" s="1228"/>
    </row>
  </sheetData>
  <mergeCells count="2">
    <mergeCell ref="D5:D6"/>
    <mergeCell ref="B9:D9"/>
  </mergeCells>
  <hyperlinks>
    <hyperlink ref="B2" location="Indhold!B76" display="Skema EU CQ2: Kvalitet af kreditlempelser" xr:uid="{5C5C7A35-1513-4D9C-B20C-EC1BD9BB8F6F}"/>
  </hyperlinks>
  <pageMargins left="0.70866141732283472" right="0.70866141732283472" top="0.74803149606299213" bottom="0.74803149606299213" header="0.31496062992125984" footer="0.31496062992125984"/>
  <pageSetup paperSize="9" orientation="landscape" r:id="rId1"/>
  <headerFooter>
    <oddHeader>&amp;CDA
Bilag XV</oddHead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3B57B-3685-4687-B72A-C81E438698AF}">
  <sheetPr>
    <tabColor rgb="FFFF0000"/>
  </sheetPr>
  <dimension ref="B2:K24"/>
  <sheetViews>
    <sheetView showGridLines="0" zoomScaleNormal="100" workbookViewId="0">
      <selection activeCell="B2" sqref="B2"/>
    </sheetView>
  </sheetViews>
  <sheetFormatPr defaultRowHeight="15" x14ac:dyDescent="0.25"/>
  <cols>
    <col min="2" max="2" width="4.28515625" customWidth="1"/>
    <col min="3" max="3" width="14.7109375" customWidth="1"/>
    <col min="8" max="8" width="12.42578125" customWidth="1"/>
    <col min="9" max="9" width="16" customWidth="1"/>
    <col min="10" max="10" width="10.85546875" customWidth="1"/>
    <col min="11" max="11" width="6.7109375" customWidth="1"/>
  </cols>
  <sheetData>
    <row r="2" spans="2:11" x14ac:dyDescent="0.25">
      <c r="B2" s="866" t="s">
        <v>728</v>
      </c>
    </row>
    <row r="3" spans="2:11" ht="15.75" x14ac:dyDescent="0.25">
      <c r="B3" s="164"/>
      <c r="C3" s="164"/>
      <c r="D3" s="165"/>
      <c r="E3" s="165"/>
      <c r="H3" s="165"/>
      <c r="I3" s="165"/>
      <c r="J3" s="195"/>
      <c r="K3" s="165"/>
    </row>
    <row r="4" spans="2:11" ht="16.5" thickBot="1" x14ac:dyDescent="0.3">
      <c r="B4" s="164"/>
      <c r="C4" s="165"/>
      <c r="D4" s="165"/>
      <c r="E4" s="165"/>
      <c r="F4" s="1235"/>
      <c r="G4" s="1235"/>
      <c r="H4" s="165"/>
      <c r="I4" s="165"/>
      <c r="J4" s="195"/>
      <c r="K4" s="165"/>
    </row>
    <row r="5" spans="2:11" ht="16.5" thickBot="1" x14ac:dyDescent="0.3">
      <c r="B5" s="166"/>
      <c r="C5" s="166"/>
      <c r="D5" s="167" t="s">
        <v>103</v>
      </c>
      <c r="E5" s="168" t="s">
        <v>102</v>
      </c>
      <c r="F5" s="168" t="s">
        <v>97</v>
      </c>
      <c r="G5" s="168" t="s">
        <v>96</v>
      </c>
      <c r="H5" s="168" t="s">
        <v>95</v>
      </c>
      <c r="I5" s="168" t="s">
        <v>657</v>
      </c>
      <c r="J5" s="1236" t="s">
        <v>112</v>
      </c>
      <c r="K5" s="1237"/>
    </row>
    <row r="6" spans="2:11" ht="84" customHeight="1" thickBot="1" x14ac:dyDescent="0.3">
      <c r="B6" s="166"/>
      <c r="C6" s="166"/>
      <c r="D6" s="1238" t="s">
        <v>571</v>
      </c>
      <c r="E6" s="1239"/>
      <c r="F6" s="1239"/>
      <c r="G6" s="1240"/>
      <c r="H6" s="1241" t="s">
        <v>1259</v>
      </c>
      <c r="I6" s="1226" t="s">
        <v>658</v>
      </c>
      <c r="J6" s="1238" t="s">
        <v>659</v>
      </c>
      <c r="K6" s="1241"/>
    </row>
    <row r="7" spans="2:11" ht="49.5" customHeight="1" thickBot="1" x14ac:dyDescent="0.3">
      <c r="B7" s="196"/>
      <c r="C7" s="196"/>
      <c r="D7" s="197"/>
      <c r="E7" s="1238" t="s">
        <v>660</v>
      </c>
      <c r="F7" s="1241"/>
      <c r="G7" s="1247" t="s">
        <v>1258</v>
      </c>
      <c r="H7" s="1242"/>
      <c r="I7" s="1243"/>
      <c r="J7" s="1244"/>
      <c r="K7" s="1242"/>
    </row>
    <row r="8" spans="2:11" ht="15.75" x14ac:dyDescent="0.25">
      <c r="B8" s="166"/>
      <c r="C8" s="166"/>
      <c r="D8" s="197"/>
      <c r="E8" s="1250"/>
      <c r="F8" s="1226" t="s">
        <v>1255</v>
      </c>
      <c r="G8" s="1248"/>
      <c r="H8" s="1252"/>
      <c r="I8" s="1243"/>
      <c r="J8" s="1244"/>
      <c r="K8" s="1242"/>
    </row>
    <row r="9" spans="2:11" ht="16.5" thickBot="1" x14ac:dyDescent="0.3">
      <c r="B9" s="166"/>
      <c r="C9" s="166"/>
      <c r="D9" s="197"/>
      <c r="E9" s="1251"/>
      <c r="F9" s="1227"/>
      <c r="G9" s="1249"/>
      <c r="H9" s="1253"/>
      <c r="I9" s="1227"/>
      <c r="J9" s="1245"/>
      <c r="K9" s="1246"/>
    </row>
    <row r="10" spans="2:11" ht="21.75" thickBot="1" x14ac:dyDescent="0.3">
      <c r="B10" s="189" t="s">
        <v>343</v>
      </c>
      <c r="C10" s="198" t="s">
        <v>661</v>
      </c>
      <c r="D10" s="427">
        <v>0</v>
      </c>
      <c r="E10" s="428">
        <v>0</v>
      </c>
      <c r="F10" s="427">
        <v>0</v>
      </c>
      <c r="G10" s="427">
        <v>0</v>
      </c>
      <c r="H10" s="427">
        <v>0</v>
      </c>
      <c r="I10" s="429"/>
      <c r="J10" s="1254">
        <v>0</v>
      </c>
      <c r="K10" s="1255"/>
    </row>
    <row r="11" spans="2:11" ht="15.75" thickBot="1" x14ac:dyDescent="0.3">
      <c r="B11" s="174" t="s">
        <v>349</v>
      </c>
      <c r="C11" s="199" t="s">
        <v>662</v>
      </c>
      <c r="D11" s="418"/>
      <c r="E11" s="418"/>
      <c r="F11" s="418"/>
      <c r="G11" s="418"/>
      <c r="H11" s="418"/>
      <c r="I11" s="430"/>
      <c r="J11" s="1233"/>
      <c r="K11" s="1234"/>
    </row>
    <row r="12" spans="2:11" ht="15.75" thickBot="1" x14ac:dyDescent="0.3">
      <c r="B12" s="174" t="s">
        <v>585</v>
      </c>
      <c r="C12" s="199" t="s">
        <v>663</v>
      </c>
      <c r="D12" s="418"/>
      <c r="E12" s="418"/>
      <c r="F12" s="418"/>
      <c r="G12" s="418"/>
      <c r="H12" s="418"/>
      <c r="I12" s="430"/>
      <c r="J12" s="1233"/>
      <c r="K12" s="1234"/>
    </row>
    <row r="13" spans="2:11" ht="15.75" thickBot="1" x14ac:dyDescent="0.3">
      <c r="B13" s="174" t="s">
        <v>587</v>
      </c>
      <c r="C13" s="199" t="s">
        <v>664</v>
      </c>
      <c r="D13" s="418"/>
      <c r="E13" s="418"/>
      <c r="F13" s="418"/>
      <c r="G13" s="418"/>
      <c r="H13" s="418"/>
      <c r="I13" s="430"/>
      <c r="J13" s="1233"/>
      <c r="K13" s="1234"/>
    </row>
    <row r="14" spans="2:11" ht="15.75" thickBot="1" x14ac:dyDescent="0.3">
      <c r="B14" s="174" t="s">
        <v>589</v>
      </c>
      <c r="C14" s="199" t="s">
        <v>665</v>
      </c>
      <c r="D14" s="418"/>
      <c r="E14" s="418"/>
      <c r="F14" s="418"/>
      <c r="G14" s="418"/>
      <c r="H14" s="418"/>
      <c r="I14" s="430"/>
      <c r="J14" s="1233"/>
      <c r="K14" s="1234"/>
    </row>
    <row r="15" spans="2:11" ht="15.75" thickBot="1" x14ac:dyDescent="0.3">
      <c r="B15" s="174" t="s">
        <v>591</v>
      </c>
      <c r="C15" s="199" t="s">
        <v>666</v>
      </c>
      <c r="D15" s="418"/>
      <c r="E15" s="418"/>
      <c r="F15" s="418"/>
      <c r="G15" s="418"/>
      <c r="H15" s="418"/>
      <c r="I15" s="430"/>
      <c r="J15" s="1233"/>
      <c r="K15" s="1234"/>
    </row>
    <row r="16" spans="2:11" ht="15.75" thickBot="1" x14ac:dyDescent="0.3">
      <c r="B16" s="174" t="s">
        <v>593</v>
      </c>
      <c r="C16" s="199" t="s">
        <v>667</v>
      </c>
      <c r="D16" s="418"/>
      <c r="E16" s="418"/>
      <c r="F16" s="418"/>
      <c r="G16" s="418"/>
      <c r="H16" s="418"/>
      <c r="I16" s="430"/>
      <c r="J16" s="1233"/>
      <c r="K16" s="1234"/>
    </row>
    <row r="17" spans="2:11" ht="21.75" thickBot="1" x14ac:dyDescent="0.3">
      <c r="B17" s="174" t="s">
        <v>595</v>
      </c>
      <c r="C17" s="176" t="s">
        <v>415</v>
      </c>
      <c r="D17" s="428">
        <v>0</v>
      </c>
      <c r="E17" s="428">
        <v>0</v>
      </c>
      <c r="F17" s="428">
        <v>0</v>
      </c>
      <c r="G17" s="431"/>
      <c r="H17" s="431"/>
      <c r="I17" s="428">
        <v>0</v>
      </c>
      <c r="J17" s="1229"/>
      <c r="K17" s="1230"/>
    </row>
    <row r="18" spans="2:11" ht="15.75" thickBot="1" x14ac:dyDescent="0.3">
      <c r="B18" s="175" t="s">
        <v>597</v>
      </c>
      <c r="C18" s="199" t="s">
        <v>662</v>
      </c>
      <c r="D18" s="418"/>
      <c r="E18" s="418"/>
      <c r="F18" s="418"/>
      <c r="G18" s="430"/>
      <c r="H18" s="430"/>
      <c r="I18" s="418"/>
      <c r="J18" s="1229"/>
      <c r="K18" s="1230"/>
    </row>
    <row r="19" spans="2:11" ht="15.75" thickBot="1" x14ac:dyDescent="0.3">
      <c r="B19" s="174" t="s">
        <v>599</v>
      </c>
      <c r="C19" s="199" t="s">
        <v>663</v>
      </c>
      <c r="D19" s="418"/>
      <c r="E19" s="418"/>
      <c r="F19" s="418"/>
      <c r="G19" s="430"/>
      <c r="H19" s="430"/>
      <c r="I19" s="418"/>
      <c r="J19" s="1229"/>
      <c r="K19" s="1230"/>
    </row>
    <row r="20" spans="2:11" ht="15.75" thickBot="1" x14ac:dyDescent="0.3">
      <c r="B20" s="174" t="s">
        <v>600</v>
      </c>
      <c r="C20" s="199" t="s">
        <v>664</v>
      </c>
      <c r="D20" s="418"/>
      <c r="E20" s="418"/>
      <c r="F20" s="418"/>
      <c r="G20" s="430"/>
      <c r="H20" s="430"/>
      <c r="I20" s="418"/>
      <c r="J20" s="1229"/>
      <c r="K20" s="1230"/>
    </row>
    <row r="21" spans="2:11" ht="15.75" thickBot="1" x14ac:dyDescent="0.3">
      <c r="B21" s="174" t="s">
        <v>601</v>
      </c>
      <c r="C21" s="199" t="s">
        <v>665</v>
      </c>
      <c r="D21" s="418"/>
      <c r="E21" s="418"/>
      <c r="F21" s="418"/>
      <c r="G21" s="430"/>
      <c r="H21" s="430"/>
      <c r="I21" s="418"/>
      <c r="J21" s="1229"/>
      <c r="K21" s="1230"/>
    </row>
    <row r="22" spans="2:11" ht="15.75" thickBot="1" x14ac:dyDescent="0.3">
      <c r="B22" s="174" t="s">
        <v>602</v>
      </c>
      <c r="C22" s="199" t="s">
        <v>666</v>
      </c>
      <c r="D22" s="418"/>
      <c r="E22" s="418"/>
      <c r="F22" s="418"/>
      <c r="G22" s="430"/>
      <c r="H22" s="430"/>
      <c r="I22" s="418"/>
      <c r="J22" s="1229"/>
      <c r="K22" s="1230"/>
    </row>
    <row r="23" spans="2:11" ht="15.75" thickBot="1" x14ac:dyDescent="0.3">
      <c r="B23" s="174" t="s">
        <v>603</v>
      </c>
      <c r="C23" s="199" t="s">
        <v>667</v>
      </c>
      <c r="D23" s="418"/>
      <c r="E23" s="418"/>
      <c r="F23" s="418"/>
      <c r="G23" s="430"/>
      <c r="H23" s="430"/>
      <c r="I23" s="418"/>
      <c r="J23" s="1229"/>
      <c r="K23" s="1230"/>
    </row>
    <row r="24" spans="2:11" ht="15.75" thickBot="1" x14ac:dyDescent="0.3">
      <c r="B24" s="192" t="s">
        <v>604</v>
      </c>
      <c r="C24" s="176" t="s">
        <v>0</v>
      </c>
      <c r="D24" s="418">
        <v>0</v>
      </c>
      <c r="E24" s="418">
        <v>0</v>
      </c>
      <c r="F24" s="418">
        <v>0</v>
      </c>
      <c r="G24" s="418">
        <v>0</v>
      </c>
      <c r="H24" s="418">
        <v>0</v>
      </c>
      <c r="I24" s="418">
        <v>0</v>
      </c>
      <c r="J24" s="1231">
        <v>0</v>
      </c>
      <c r="K24" s="1232"/>
    </row>
  </sheetData>
  <mergeCells count="26">
    <mergeCell ref="J14:K14"/>
    <mergeCell ref="F4:G4"/>
    <mergeCell ref="J5:K5"/>
    <mergeCell ref="D6:G6"/>
    <mergeCell ref="H6:H7"/>
    <mergeCell ref="I6:I9"/>
    <mergeCell ref="J6:K9"/>
    <mergeCell ref="E7:F7"/>
    <mergeCell ref="G7:G9"/>
    <mergeCell ref="E8:E9"/>
    <mergeCell ref="F8:F9"/>
    <mergeCell ref="H8:H9"/>
    <mergeCell ref="J10:K10"/>
    <mergeCell ref="J11:K11"/>
    <mergeCell ref="J12:K12"/>
    <mergeCell ref="J13:K13"/>
    <mergeCell ref="J21:K21"/>
    <mergeCell ref="J22:K22"/>
    <mergeCell ref="J23:K23"/>
    <mergeCell ref="J24:K24"/>
    <mergeCell ref="J15:K15"/>
    <mergeCell ref="J16:K16"/>
    <mergeCell ref="J17:K17"/>
    <mergeCell ref="J18:K18"/>
    <mergeCell ref="J19:K19"/>
    <mergeCell ref="J20:K20"/>
  </mergeCells>
  <hyperlinks>
    <hyperlink ref="B2" location="Indhold!B77" display="Skema EU CQ4: Kvaliteten af misligholdte eksponeringer efter geografisk placering " xr:uid="{1DBA8A8F-9842-489F-8551-6C8CCF8E49BD}"/>
  </hyperlinks>
  <pageMargins left="0.70866141732283472" right="0.70866141732283472" top="0.74803149606299213" bottom="0.74803149606299213" header="0.31496062992125984" footer="0.31496062992125984"/>
  <pageSetup paperSize="9" orientation="landscape" r:id="rId1"/>
  <headerFooter>
    <oddHeader>&amp;CDA
Bilag XV</oddHead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E6DBD-AF2D-4D44-B564-7E6AD1E6CB9D}">
  <sheetPr>
    <tabColor rgb="FFFF0000"/>
  </sheetPr>
  <dimension ref="A2:N22"/>
  <sheetViews>
    <sheetView showGridLines="0" zoomScaleNormal="100" workbookViewId="0">
      <selection activeCell="A2" sqref="A2"/>
    </sheetView>
  </sheetViews>
  <sheetFormatPr defaultRowHeight="15" x14ac:dyDescent="0.25"/>
  <cols>
    <col min="1" max="1" width="4.42578125" customWidth="1"/>
    <col min="2" max="2" width="25.85546875" customWidth="1"/>
    <col min="3" max="4" width="7.5703125" customWidth="1"/>
    <col min="6" max="6" width="6.7109375" customWidth="1"/>
    <col min="8" max="8" width="6.28515625" customWidth="1"/>
    <col min="12" max="12" width="8.7109375" customWidth="1"/>
    <col min="13" max="13" width="8.5703125" customWidth="1"/>
  </cols>
  <sheetData>
    <row r="2" spans="1:14" x14ac:dyDescent="0.25">
      <c r="A2" s="866" t="s">
        <v>690</v>
      </c>
    </row>
    <row r="3" spans="1:14" ht="16.5" thickBot="1" x14ac:dyDescent="0.3">
      <c r="A3" s="164"/>
      <c r="B3" s="164"/>
      <c r="C3" s="165"/>
      <c r="D3" s="165"/>
      <c r="E3" s="165"/>
      <c r="F3" s="165"/>
      <c r="G3" s="165"/>
      <c r="H3" s="165"/>
      <c r="I3" s="165"/>
      <c r="J3" s="165"/>
      <c r="K3" s="165"/>
      <c r="L3" s="165"/>
      <c r="M3" s="165"/>
      <c r="N3" s="165"/>
    </row>
    <row r="4" spans="1:14" ht="16.5" thickBot="1" x14ac:dyDescent="0.3">
      <c r="A4" s="164"/>
      <c r="B4" s="200"/>
      <c r="C4" s="201" t="s">
        <v>103</v>
      </c>
      <c r="D4" s="202" t="s">
        <v>102</v>
      </c>
      <c r="E4" s="202" t="s">
        <v>97</v>
      </c>
      <c r="F4" s="202" t="s">
        <v>96</v>
      </c>
      <c r="G4" s="202" t="s">
        <v>95</v>
      </c>
      <c r="H4" s="202" t="s">
        <v>111</v>
      </c>
      <c r="I4" s="202" t="s">
        <v>112</v>
      </c>
      <c r="J4" s="202" t="s">
        <v>164</v>
      </c>
      <c r="K4" s="202" t="s">
        <v>323</v>
      </c>
      <c r="L4" s="202" t="s">
        <v>324</v>
      </c>
      <c r="M4" s="202" t="s">
        <v>325</v>
      </c>
      <c r="N4" s="202" t="s">
        <v>326</v>
      </c>
    </row>
    <row r="5" spans="1:14" ht="21" customHeight="1" thickBot="1" x14ac:dyDescent="0.3">
      <c r="A5" s="166"/>
      <c r="B5" s="166"/>
      <c r="C5" s="203" t="s">
        <v>583</v>
      </c>
      <c r="D5" s="196"/>
      <c r="E5" s="196"/>
      <c r="F5" s="196"/>
      <c r="G5" s="196"/>
      <c r="H5" s="196"/>
      <c r="I5" s="196"/>
      <c r="J5" s="196"/>
      <c r="K5" s="196"/>
      <c r="L5" s="196"/>
      <c r="M5" s="196"/>
      <c r="N5" s="169"/>
    </row>
    <row r="6" spans="1:14" ht="23.25" customHeight="1" thickBot="1" x14ac:dyDescent="0.3">
      <c r="A6" s="166"/>
      <c r="B6" s="166"/>
      <c r="C6" s="204"/>
      <c r="D6" s="205" t="s">
        <v>691</v>
      </c>
      <c r="E6" s="206"/>
      <c r="F6" s="205" t="s">
        <v>692</v>
      </c>
      <c r="G6" s="207"/>
      <c r="H6" s="207"/>
      <c r="I6" s="207"/>
      <c r="J6" s="207"/>
      <c r="K6" s="207"/>
      <c r="L6" s="207"/>
      <c r="M6" s="207"/>
      <c r="N6" s="172"/>
    </row>
    <row r="7" spans="1:14" ht="33" customHeight="1" thickBot="1" x14ac:dyDescent="0.3">
      <c r="A7" s="166"/>
      <c r="B7" s="166"/>
      <c r="C7" s="204"/>
      <c r="D7" s="204"/>
      <c r="E7" s="208"/>
      <c r="F7" s="204"/>
      <c r="G7" s="1226" t="s">
        <v>649</v>
      </c>
      <c r="H7" s="1256" t="s">
        <v>693</v>
      </c>
      <c r="I7" s="1257"/>
      <c r="J7" s="1257"/>
      <c r="K7" s="1257"/>
      <c r="L7" s="1257"/>
      <c r="M7" s="1257"/>
      <c r="N7" s="1258"/>
    </row>
    <row r="8" spans="1:14" ht="63.75" customHeight="1" thickBot="1" x14ac:dyDescent="0.3">
      <c r="A8" s="166"/>
      <c r="B8" s="166"/>
      <c r="C8" s="204"/>
      <c r="D8" s="204"/>
      <c r="E8" s="209" t="s">
        <v>1260</v>
      </c>
      <c r="F8" s="210"/>
      <c r="G8" s="1227"/>
      <c r="H8" s="211"/>
      <c r="I8" s="170" t="s">
        <v>1261</v>
      </c>
      <c r="J8" s="170" t="s">
        <v>1262</v>
      </c>
      <c r="K8" s="170" t="s">
        <v>694</v>
      </c>
      <c r="L8" s="170" t="s">
        <v>695</v>
      </c>
      <c r="M8" s="170" t="s">
        <v>696</v>
      </c>
      <c r="N8" s="170" t="s">
        <v>1263</v>
      </c>
    </row>
    <row r="9" spans="1:14" ht="15.75" thickBot="1" x14ac:dyDescent="0.3">
      <c r="A9" s="212" t="s">
        <v>343</v>
      </c>
      <c r="B9" s="213" t="s">
        <v>669</v>
      </c>
      <c r="C9" s="417">
        <v>0</v>
      </c>
      <c r="D9" s="417">
        <v>0</v>
      </c>
      <c r="E9" s="417">
        <v>0</v>
      </c>
      <c r="F9" s="417">
        <v>0</v>
      </c>
      <c r="G9" s="417">
        <v>0</v>
      </c>
      <c r="H9" s="417">
        <v>0</v>
      </c>
      <c r="I9" s="417">
        <v>0</v>
      </c>
      <c r="J9" s="417">
        <v>0</v>
      </c>
      <c r="K9" s="417">
        <v>0</v>
      </c>
      <c r="L9" s="417">
        <v>0</v>
      </c>
      <c r="M9" s="417">
        <v>0</v>
      </c>
      <c r="N9" s="417">
        <v>0</v>
      </c>
    </row>
    <row r="10" spans="1:14" ht="15.75" thickBot="1" x14ac:dyDescent="0.3">
      <c r="A10" s="214" t="s">
        <v>349</v>
      </c>
      <c r="B10" s="215" t="s">
        <v>697</v>
      </c>
      <c r="C10" s="417">
        <v>0</v>
      </c>
      <c r="D10" s="417">
        <v>0</v>
      </c>
      <c r="E10" s="417">
        <v>0</v>
      </c>
      <c r="F10" s="417">
        <v>0</v>
      </c>
      <c r="G10" s="417">
        <v>0</v>
      </c>
      <c r="H10" s="417">
        <v>0</v>
      </c>
      <c r="I10" s="417">
        <v>0</v>
      </c>
      <c r="J10" s="417">
        <v>0</v>
      </c>
      <c r="K10" s="417">
        <v>0</v>
      </c>
      <c r="L10" s="417">
        <v>0</v>
      </c>
      <c r="M10" s="417">
        <v>0</v>
      </c>
      <c r="N10" s="417">
        <v>0</v>
      </c>
    </row>
    <row r="11" spans="1:14" ht="32.25" customHeight="1" thickBot="1" x14ac:dyDescent="0.3">
      <c r="A11" s="214" t="s">
        <v>585</v>
      </c>
      <c r="B11" s="216" t="s">
        <v>698</v>
      </c>
      <c r="C11" s="417">
        <v>0</v>
      </c>
      <c r="D11" s="417">
        <v>0</v>
      </c>
      <c r="E11" s="417">
        <v>0</v>
      </c>
      <c r="F11" s="417">
        <v>0</v>
      </c>
      <c r="G11" s="417">
        <v>0</v>
      </c>
      <c r="H11" s="417">
        <v>0</v>
      </c>
      <c r="I11" s="417">
        <v>0</v>
      </c>
      <c r="J11" s="417">
        <v>0</v>
      </c>
      <c r="K11" s="417">
        <v>0</v>
      </c>
      <c r="L11" s="417">
        <v>0</v>
      </c>
      <c r="M11" s="417">
        <v>0</v>
      </c>
      <c r="N11" s="417">
        <v>0</v>
      </c>
    </row>
    <row r="12" spans="1:14" ht="62.25" customHeight="1" thickBot="1" x14ac:dyDescent="0.3">
      <c r="A12" s="214" t="s">
        <v>587</v>
      </c>
      <c r="B12" s="217" t="s">
        <v>699</v>
      </c>
      <c r="C12" s="418">
        <v>0</v>
      </c>
      <c r="D12" s="418">
        <v>0</v>
      </c>
      <c r="E12" s="432"/>
      <c r="F12" s="418">
        <v>0</v>
      </c>
      <c r="G12" s="418">
        <v>0</v>
      </c>
      <c r="H12" s="418">
        <v>0</v>
      </c>
      <c r="I12" s="432"/>
      <c r="J12" s="432"/>
      <c r="K12" s="432"/>
      <c r="L12" s="432"/>
      <c r="M12" s="432"/>
      <c r="N12" s="432"/>
    </row>
    <row r="13" spans="1:14" ht="68.25" customHeight="1" thickBot="1" x14ac:dyDescent="0.3">
      <c r="A13" s="214" t="s">
        <v>589</v>
      </c>
      <c r="B13" s="217" t="s">
        <v>700</v>
      </c>
      <c r="C13" s="418">
        <v>0</v>
      </c>
      <c r="D13" s="418">
        <v>0</v>
      </c>
      <c r="E13" s="432"/>
      <c r="F13" s="418">
        <v>0</v>
      </c>
      <c r="G13" s="418">
        <v>0</v>
      </c>
      <c r="H13" s="418">
        <v>0</v>
      </c>
      <c r="I13" s="432"/>
      <c r="J13" s="432"/>
      <c r="K13" s="432"/>
      <c r="L13" s="432"/>
      <c r="M13" s="432"/>
      <c r="N13" s="432"/>
    </row>
    <row r="14" spans="1:14" ht="51.75" customHeight="1" thickBot="1" x14ac:dyDescent="0.3">
      <c r="A14" s="214" t="s">
        <v>591</v>
      </c>
      <c r="B14" s="217" t="s">
        <v>701</v>
      </c>
      <c r="C14" s="418">
        <v>0</v>
      </c>
      <c r="D14" s="418">
        <v>0</v>
      </c>
      <c r="E14" s="432"/>
      <c r="F14" s="418">
        <v>0</v>
      </c>
      <c r="G14" s="418">
        <v>0</v>
      </c>
      <c r="H14" s="418">
        <v>0</v>
      </c>
      <c r="I14" s="432"/>
      <c r="J14" s="432"/>
      <c r="K14" s="432"/>
      <c r="L14" s="432"/>
      <c r="M14" s="432"/>
      <c r="N14" s="432"/>
    </row>
    <row r="15" spans="1:14" ht="35.25" customHeight="1" thickBot="1" x14ac:dyDescent="0.3">
      <c r="A15" s="218" t="s">
        <v>593</v>
      </c>
      <c r="B15" s="194" t="s">
        <v>702</v>
      </c>
      <c r="C15" s="417">
        <v>0</v>
      </c>
      <c r="D15" s="417">
        <v>0</v>
      </c>
      <c r="E15" s="417">
        <v>0</v>
      </c>
      <c r="F15" s="417">
        <v>0</v>
      </c>
      <c r="G15" s="417">
        <v>0</v>
      </c>
      <c r="H15" s="417">
        <v>0</v>
      </c>
      <c r="I15" s="417">
        <v>0</v>
      </c>
      <c r="J15" s="417">
        <v>0</v>
      </c>
      <c r="K15" s="417">
        <v>0</v>
      </c>
      <c r="L15" s="417">
        <v>0</v>
      </c>
      <c r="M15" s="417">
        <v>0</v>
      </c>
      <c r="N15" s="417">
        <v>0</v>
      </c>
    </row>
    <row r="16" spans="1:14" ht="15.75" thickBot="1" x14ac:dyDescent="0.3">
      <c r="A16" s="218" t="s">
        <v>595</v>
      </c>
      <c r="B16" s="194" t="s">
        <v>703</v>
      </c>
      <c r="C16" s="433"/>
      <c r="D16" s="433"/>
      <c r="E16" s="433"/>
      <c r="F16" s="433"/>
      <c r="G16" s="433"/>
      <c r="H16" s="433"/>
      <c r="I16" s="433"/>
      <c r="J16" s="433"/>
      <c r="K16" s="433"/>
      <c r="L16" s="433"/>
      <c r="M16" s="433"/>
      <c r="N16" s="433"/>
    </row>
    <row r="17" spans="1:14" ht="31.5" customHeight="1" thickBot="1" x14ac:dyDescent="0.3">
      <c r="A17" s="214" t="s">
        <v>597</v>
      </c>
      <c r="B17" s="215" t="s">
        <v>704</v>
      </c>
      <c r="C17" s="417">
        <v>0</v>
      </c>
      <c r="D17" s="417">
        <v>0</v>
      </c>
      <c r="E17" s="417">
        <v>0</v>
      </c>
      <c r="F17" s="417">
        <v>0</v>
      </c>
      <c r="G17" s="417">
        <v>0</v>
      </c>
      <c r="H17" s="417">
        <v>0</v>
      </c>
      <c r="I17" s="417">
        <v>0</v>
      </c>
      <c r="J17" s="417">
        <v>0</v>
      </c>
      <c r="K17" s="417">
        <v>0</v>
      </c>
      <c r="L17" s="417">
        <v>0</v>
      </c>
      <c r="M17" s="417">
        <v>0</v>
      </c>
      <c r="N17" s="417">
        <v>0</v>
      </c>
    </row>
    <row r="18" spans="1:14" ht="30.75" customHeight="1" thickBot="1" x14ac:dyDescent="0.3">
      <c r="A18" s="214" t="s">
        <v>599</v>
      </c>
      <c r="B18" s="216" t="s">
        <v>705</v>
      </c>
      <c r="C18" s="417">
        <v>0</v>
      </c>
      <c r="D18" s="417">
        <v>0</v>
      </c>
      <c r="E18" s="417">
        <v>0</v>
      </c>
      <c r="F18" s="417">
        <v>0</v>
      </c>
      <c r="G18" s="417">
        <v>0</v>
      </c>
      <c r="H18" s="417">
        <v>0</v>
      </c>
      <c r="I18" s="417">
        <v>0</v>
      </c>
      <c r="J18" s="417">
        <v>0</v>
      </c>
      <c r="K18" s="417">
        <v>0</v>
      </c>
      <c r="L18" s="417">
        <v>0</v>
      </c>
      <c r="M18" s="417">
        <v>0</v>
      </c>
      <c r="N18" s="417">
        <v>0</v>
      </c>
    </row>
    <row r="19" spans="1:14" ht="31.5" customHeight="1" thickBot="1" x14ac:dyDescent="0.3">
      <c r="A19" s="214" t="s">
        <v>600</v>
      </c>
      <c r="B19" s="215" t="s">
        <v>706</v>
      </c>
      <c r="C19" s="417">
        <v>0</v>
      </c>
      <c r="D19" s="417">
        <v>0</v>
      </c>
      <c r="E19" s="417">
        <v>0</v>
      </c>
      <c r="F19" s="417">
        <v>0</v>
      </c>
      <c r="G19" s="417">
        <v>0</v>
      </c>
      <c r="H19" s="417">
        <v>0</v>
      </c>
      <c r="I19" s="417">
        <v>0</v>
      </c>
      <c r="J19" s="417">
        <v>0</v>
      </c>
      <c r="K19" s="417">
        <v>0</v>
      </c>
      <c r="L19" s="417">
        <v>0</v>
      </c>
      <c r="M19" s="417">
        <v>0</v>
      </c>
      <c r="N19" s="417">
        <v>0</v>
      </c>
    </row>
    <row r="20" spans="1:14" ht="29.25" customHeight="1" thickBot="1" x14ac:dyDescent="0.3">
      <c r="A20" s="214" t="s">
        <v>601</v>
      </c>
      <c r="B20" s="216" t="s">
        <v>705</v>
      </c>
      <c r="C20" s="417">
        <v>0</v>
      </c>
      <c r="D20" s="417">
        <v>0</v>
      </c>
      <c r="E20" s="417">
        <v>0</v>
      </c>
      <c r="F20" s="417">
        <v>0</v>
      </c>
      <c r="G20" s="417">
        <v>0</v>
      </c>
      <c r="H20" s="417">
        <v>0</v>
      </c>
      <c r="I20" s="417">
        <v>0</v>
      </c>
      <c r="J20" s="417">
        <v>0</v>
      </c>
      <c r="K20" s="417">
        <v>0</v>
      </c>
      <c r="L20" s="417">
        <v>0</v>
      </c>
      <c r="M20" s="417">
        <v>0</v>
      </c>
      <c r="N20" s="417">
        <v>0</v>
      </c>
    </row>
    <row r="21" spans="1:14" ht="15.75" thickBot="1" x14ac:dyDescent="0.3">
      <c r="A21" s="218" t="s">
        <v>602</v>
      </c>
      <c r="B21" s="194" t="s">
        <v>707</v>
      </c>
      <c r="C21" s="417">
        <v>0</v>
      </c>
      <c r="D21" s="417">
        <v>0</v>
      </c>
      <c r="E21" s="417">
        <v>0</v>
      </c>
      <c r="F21" s="417">
        <v>0</v>
      </c>
      <c r="G21" s="417">
        <v>0</v>
      </c>
      <c r="H21" s="417">
        <v>0</v>
      </c>
      <c r="I21" s="417">
        <v>0</v>
      </c>
      <c r="J21" s="417">
        <v>0</v>
      </c>
      <c r="K21" s="417">
        <v>0</v>
      </c>
      <c r="L21" s="417">
        <v>0</v>
      </c>
      <c r="M21" s="417">
        <v>0</v>
      </c>
      <c r="N21" s="417">
        <v>0</v>
      </c>
    </row>
    <row r="22" spans="1:14" ht="21.75" thickBot="1" x14ac:dyDescent="0.3">
      <c r="A22" s="218" t="s">
        <v>603</v>
      </c>
      <c r="B22" s="194" t="s">
        <v>573</v>
      </c>
      <c r="C22" s="417">
        <v>0</v>
      </c>
      <c r="D22" s="417">
        <v>0</v>
      </c>
      <c r="E22" s="417">
        <v>0</v>
      </c>
      <c r="F22" s="417">
        <v>0</v>
      </c>
      <c r="G22" s="417">
        <v>0</v>
      </c>
      <c r="H22" s="417">
        <v>0</v>
      </c>
      <c r="I22" s="417">
        <v>0</v>
      </c>
      <c r="J22" s="417">
        <v>0</v>
      </c>
      <c r="K22" s="417">
        <v>0</v>
      </c>
      <c r="L22" s="417">
        <v>0</v>
      </c>
      <c r="M22" s="417">
        <v>0</v>
      </c>
      <c r="N22" s="417">
        <v>0</v>
      </c>
    </row>
  </sheetData>
  <mergeCells count="2">
    <mergeCell ref="G7:G8"/>
    <mergeCell ref="H7:N7"/>
  </mergeCells>
  <hyperlinks>
    <hyperlink ref="A2" location="Indhold!B78" display="Skema EU CQ6: Værdiansættelse af sikkerhedsstillelse - lån og forskud " xr:uid="{4206B6D0-6827-4A6C-9B84-68DDCD46441E}"/>
  </hyperlinks>
  <pageMargins left="0.70866141732283472" right="0.70866141732283472" top="0.74803149606299213" bottom="0.74803149606299213" header="0.31496062992125984" footer="0.31496062992125984"/>
  <pageSetup paperSize="9" scale="75" orientation="landscape" r:id="rId1"/>
  <headerFooter>
    <oddHeader>&amp;CDA
Bilag XV</oddHeader>
    <oddFooter>&amp;C&amp;P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40161-E6FA-4FDD-A40F-F7258D9C13ED}">
  <sheetPr>
    <tabColor rgb="FFFF0000"/>
    <pageSetUpPr fitToPage="1"/>
  </sheetPr>
  <dimension ref="A1:X14"/>
  <sheetViews>
    <sheetView showGridLines="0" zoomScaleNormal="100" zoomScalePageLayoutView="90" workbookViewId="0"/>
  </sheetViews>
  <sheetFormatPr defaultRowHeight="15" x14ac:dyDescent="0.25"/>
  <cols>
    <col min="2" max="2" width="15.85546875" customWidth="1"/>
  </cols>
  <sheetData>
    <row r="1" spans="1:24" x14ac:dyDescent="0.25">
      <c r="A1" s="866" t="s">
        <v>719</v>
      </c>
    </row>
    <row r="2" spans="1:24" ht="16.5" thickBot="1" x14ac:dyDescent="0.3">
      <c r="A2" s="221"/>
      <c r="B2" s="221"/>
      <c r="C2" s="220"/>
      <c r="D2" s="1235"/>
      <c r="E2" s="1235"/>
      <c r="F2" s="1235"/>
      <c r="G2" s="220"/>
      <c r="H2" s="1235"/>
      <c r="I2" s="1235"/>
      <c r="J2" s="1235"/>
      <c r="K2" s="220"/>
      <c r="L2" s="1235"/>
      <c r="M2" s="1235"/>
      <c r="N2" s="1235"/>
      <c r="O2" s="1235"/>
      <c r="P2" s="1235"/>
      <c r="Q2" s="1235"/>
      <c r="R2" s="1235"/>
      <c r="S2" s="220"/>
      <c r="T2" s="1235"/>
      <c r="U2" s="1235"/>
      <c r="V2" s="220"/>
      <c r="W2" s="1235"/>
      <c r="X2" s="1235"/>
    </row>
    <row r="3" spans="1:24" ht="15.75" thickBot="1" x14ac:dyDescent="0.3">
      <c r="A3" s="221"/>
      <c r="B3" s="221"/>
      <c r="C3" s="1283" t="s">
        <v>103</v>
      </c>
      <c r="D3" s="1284"/>
      <c r="E3" s="222" t="s">
        <v>102</v>
      </c>
      <c r="F3" s="1283" t="s">
        <v>97</v>
      </c>
      <c r="G3" s="1285"/>
      <c r="H3" s="1284"/>
      <c r="I3" s="222" t="s">
        <v>96</v>
      </c>
      <c r="J3" s="1283" t="s">
        <v>95</v>
      </c>
      <c r="K3" s="1284"/>
      <c r="L3" s="1283" t="s">
        <v>111</v>
      </c>
      <c r="M3" s="1284"/>
      <c r="N3" s="1283" t="s">
        <v>112</v>
      </c>
      <c r="O3" s="1285"/>
      <c r="P3" s="1284"/>
      <c r="Q3" s="223" t="s">
        <v>164</v>
      </c>
      <c r="R3" s="1283" t="s">
        <v>323</v>
      </c>
      <c r="S3" s="1284"/>
      <c r="T3" s="223" t="s">
        <v>324</v>
      </c>
      <c r="U3" s="1283" t="s">
        <v>325</v>
      </c>
      <c r="V3" s="1284"/>
      <c r="W3" s="1283" t="s">
        <v>326</v>
      </c>
      <c r="X3" s="1284"/>
    </row>
    <row r="4" spans="1:24" ht="15.75" thickBot="1" x14ac:dyDescent="0.3">
      <c r="A4" s="224"/>
      <c r="B4" s="224"/>
      <c r="C4" s="1268" t="s">
        <v>720</v>
      </c>
      <c r="D4" s="1269"/>
      <c r="E4" s="1270"/>
      <c r="F4" s="1274" t="s">
        <v>721</v>
      </c>
      <c r="G4" s="1275"/>
      <c r="H4" s="1275"/>
      <c r="I4" s="1275"/>
      <c r="J4" s="1275"/>
      <c r="K4" s="1275"/>
      <c r="L4" s="1275"/>
      <c r="M4" s="1275"/>
      <c r="N4" s="1276"/>
      <c r="O4" s="1276"/>
      <c r="P4" s="1276"/>
      <c r="Q4" s="225"/>
      <c r="R4" s="1276"/>
      <c r="S4" s="1276"/>
      <c r="T4" s="225"/>
      <c r="U4" s="1276"/>
      <c r="V4" s="1276"/>
      <c r="W4" s="1276"/>
      <c r="X4" s="1277"/>
    </row>
    <row r="5" spans="1:24" ht="15.75" thickBot="1" x14ac:dyDescent="0.3">
      <c r="A5" s="224"/>
      <c r="B5" s="226"/>
      <c r="C5" s="1271"/>
      <c r="D5" s="1272"/>
      <c r="E5" s="1273"/>
      <c r="F5" s="1278"/>
      <c r="G5" s="1279"/>
      <c r="H5" s="1279"/>
      <c r="I5" s="1280"/>
      <c r="J5" s="1265" t="s">
        <v>722</v>
      </c>
      <c r="K5" s="1267"/>
      <c r="L5" s="1267"/>
      <c r="M5" s="1281"/>
      <c r="N5" s="1282" t="s">
        <v>723</v>
      </c>
      <c r="O5" s="1267"/>
      <c r="P5" s="1267"/>
      <c r="Q5" s="1281"/>
      <c r="R5" s="1282" t="s">
        <v>724</v>
      </c>
      <c r="S5" s="1267"/>
      <c r="T5" s="1281"/>
      <c r="U5" s="1282" t="s">
        <v>725</v>
      </c>
      <c r="V5" s="1267"/>
      <c r="W5" s="1267"/>
      <c r="X5" s="1281"/>
    </row>
    <row r="6" spans="1:24" ht="30" thickBot="1" x14ac:dyDescent="0.3">
      <c r="A6" s="224"/>
      <c r="B6" s="227"/>
      <c r="C6" s="1265" t="s">
        <v>669</v>
      </c>
      <c r="D6" s="1266"/>
      <c r="E6" s="228" t="s">
        <v>711</v>
      </c>
      <c r="F6" s="1265" t="s">
        <v>710</v>
      </c>
      <c r="G6" s="1266"/>
      <c r="H6" s="1265" t="s">
        <v>711</v>
      </c>
      <c r="I6" s="1266"/>
      <c r="J6" s="1265" t="s">
        <v>710</v>
      </c>
      <c r="K6" s="1267"/>
      <c r="L6" s="1266"/>
      <c r="M6" s="229" t="s">
        <v>711</v>
      </c>
      <c r="N6" s="1265" t="s">
        <v>710</v>
      </c>
      <c r="O6" s="1266"/>
      <c r="P6" s="1265" t="s">
        <v>711</v>
      </c>
      <c r="Q6" s="1266"/>
      <c r="R6" s="1265" t="s">
        <v>710</v>
      </c>
      <c r="S6" s="1266"/>
      <c r="T6" s="229" t="s">
        <v>711</v>
      </c>
      <c r="U6" s="1265" t="s">
        <v>710</v>
      </c>
      <c r="V6" s="1267"/>
      <c r="W6" s="1266"/>
      <c r="X6" s="222" t="s">
        <v>711</v>
      </c>
    </row>
    <row r="7" spans="1:24" ht="59.25" thickBot="1" x14ac:dyDescent="0.3">
      <c r="A7" s="230" t="s">
        <v>343</v>
      </c>
      <c r="B7" s="227" t="s">
        <v>726</v>
      </c>
      <c r="C7" s="1259">
        <v>0</v>
      </c>
      <c r="D7" s="1260"/>
      <c r="E7" s="434">
        <v>0</v>
      </c>
      <c r="F7" s="1259">
        <v>0</v>
      </c>
      <c r="G7" s="1260"/>
      <c r="H7" s="1259">
        <v>0</v>
      </c>
      <c r="I7" s="1260"/>
      <c r="J7" s="1262"/>
      <c r="K7" s="1264"/>
      <c r="L7" s="1263"/>
      <c r="M7" s="435"/>
      <c r="N7" s="1262"/>
      <c r="O7" s="1263"/>
      <c r="P7" s="1262"/>
      <c r="Q7" s="1263"/>
      <c r="R7" s="1262"/>
      <c r="S7" s="1263"/>
      <c r="T7" s="435"/>
      <c r="U7" s="1262"/>
      <c r="V7" s="1264"/>
      <c r="W7" s="1263"/>
      <c r="X7" s="436"/>
    </row>
    <row r="8" spans="1:24" ht="59.25" thickBot="1" x14ac:dyDescent="0.3">
      <c r="A8" s="231" t="s">
        <v>349</v>
      </c>
      <c r="B8" s="227" t="s">
        <v>727</v>
      </c>
      <c r="C8" s="1259">
        <v>0</v>
      </c>
      <c r="D8" s="1260"/>
      <c r="E8" s="434">
        <v>0</v>
      </c>
      <c r="F8" s="1259">
        <v>0</v>
      </c>
      <c r="G8" s="1260"/>
      <c r="H8" s="1259">
        <v>0</v>
      </c>
      <c r="I8" s="1260"/>
      <c r="J8" s="1259">
        <v>0</v>
      </c>
      <c r="K8" s="1261"/>
      <c r="L8" s="1260"/>
      <c r="M8" s="434">
        <v>0</v>
      </c>
      <c r="N8" s="1259">
        <v>0</v>
      </c>
      <c r="O8" s="1260"/>
      <c r="P8" s="1259">
        <v>0</v>
      </c>
      <c r="Q8" s="1260"/>
      <c r="R8" s="1259">
        <v>0</v>
      </c>
      <c r="S8" s="1260"/>
      <c r="T8" s="434">
        <v>0</v>
      </c>
      <c r="U8" s="1259">
        <v>0</v>
      </c>
      <c r="V8" s="1261"/>
      <c r="W8" s="1260"/>
      <c r="X8" s="434">
        <v>0</v>
      </c>
    </row>
    <row r="9" spans="1:24" ht="20.25" thickBot="1" x14ac:dyDescent="0.3">
      <c r="A9" s="232" t="s">
        <v>585</v>
      </c>
      <c r="B9" s="233" t="s">
        <v>714</v>
      </c>
      <c r="C9" s="1259">
        <v>0</v>
      </c>
      <c r="D9" s="1260"/>
      <c r="E9" s="434">
        <v>0</v>
      </c>
      <c r="F9" s="1259">
        <v>0</v>
      </c>
      <c r="G9" s="1260"/>
      <c r="H9" s="1259">
        <v>0</v>
      </c>
      <c r="I9" s="1260"/>
      <c r="J9" s="1259">
        <v>0</v>
      </c>
      <c r="K9" s="1261"/>
      <c r="L9" s="1260"/>
      <c r="M9" s="434">
        <v>0</v>
      </c>
      <c r="N9" s="1259">
        <v>0</v>
      </c>
      <c r="O9" s="1260"/>
      <c r="P9" s="1259">
        <v>0</v>
      </c>
      <c r="Q9" s="1260"/>
      <c r="R9" s="1259">
        <v>0</v>
      </c>
      <c r="S9" s="1260"/>
      <c r="T9" s="434">
        <v>0</v>
      </c>
      <c r="U9" s="1259">
        <v>0</v>
      </c>
      <c r="V9" s="1261"/>
      <c r="W9" s="1260"/>
      <c r="X9" s="434">
        <v>0</v>
      </c>
    </row>
    <row r="10" spans="1:24" ht="20.25" thickBot="1" x14ac:dyDescent="0.3">
      <c r="A10" s="232" t="s">
        <v>587</v>
      </c>
      <c r="B10" s="233" t="s">
        <v>715</v>
      </c>
      <c r="C10" s="1259">
        <v>0</v>
      </c>
      <c r="D10" s="1260"/>
      <c r="E10" s="434">
        <v>0</v>
      </c>
      <c r="F10" s="1259">
        <v>0</v>
      </c>
      <c r="G10" s="1260"/>
      <c r="H10" s="1259">
        <v>0</v>
      </c>
      <c r="I10" s="1260"/>
      <c r="J10" s="1259">
        <v>0</v>
      </c>
      <c r="K10" s="1261"/>
      <c r="L10" s="1260"/>
      <c r="M10" s="434">
        <v>0</v>
      </c>
      <c r="N10" s="1259">
        <v>0</v>
      </c>
      <c r="O10" s="1260"/>
      <c r="P10" s="1259">
        <v>0</v>
      </c>
      <c r="Q10" s="1260"/>
      <c r="R10" s="1259">
        <v>0</v>
      </c>
      <c r="S10" s="1260"/>
      <c r="T10" s="434">
        <v>0</v>
      </c>
      <c r="U10" s="1259">
        <v>0</v>
      </c>
      <c r="V10" s="1261"/>
      <c r="W10" s="1260"/>
      <c r="X10" s="434">
        <v>0</v>
      </c>
    </row>
    <row r="11" spans="1:24" ht="20.25" thickBot="1" x14ac:dyDescent="0.3">
      <c r="A11" s="232" t="s">
        <v>589</v>
      </c>
      <c r="B11" s="233" t="s">
        <v>716</v>
      </c>
      <c r="C11" s="1259">
        <v>0</v>
      </c>
      <c r="D11" s="1260"/>
      <c r="E11" s="434">
        <v>0</v>
      </c>
      <c r="F11" s="1259">
        <v>0</v>
      </c>
      <c r="G11" s="1260"/>
      <c r="H11" s="1259">
        <v>0</v>
      </c>
      <c r="I11" s="1260"/>
      <c r="J11" s="1259">
        <v>0</v>
      </c>
      <c r="K11" s="1261"/>
      <c r="L11" s="1260"/>
      <c r="M11" s="434">
        <v>0</v>
      </c>
      <c r="N11" s="1259">
        <v>0</v>
      </c>
      <c r="O11" s="1260"/>
      <c r="P11" s="1259">
        <v>0</v>
      </c>
      <c r="Q11" s="1260"/>
      <c r="R11" s="1259">
        <v>0</v>
      </c>
      <c r="S11" s="1260"/>
      <c r="T11" s="434">
        <v>0</v>
      </c>
      <c r="U11" s="1259">
        <v>0</v>
      </c>
      <c r="V11" s="1261"/>
      <c r="W11" s="1260"/>
      <c r="X11" s="434">
        <v>0</v>
      </c>
    </row>
    <row r="12" spans="1:24" ht="30" thickBot="1" x14ac:dyDescent="0.3">
      <c r="A12" s="232" t="s">
        <v>591</v>
      </c>
      <c r="B12" s="233" t="s">
        <v>717</v>
      </c>
      <c r="C12" s="1259">
        <v>0</v>
      </c>
      <c r="D12" s="1260"/>
      <c r="E12" s="434">
        <v>0</v>
      </c>
      <c r="F12" s="1259">
        <v>0</v>
      </c>
      <c r="G12" s="1260"/>
      <c r="H12" s="1259">
        <v>0</v>
      </c>
      <c r="I12" s="1260"/>
      <c r="J12" s="1259">
        <v>0</v>
      </c>
      <c r="K12" s="1261"/>
      <c r="L12" s="1260"/>
      <c r="M12" s="434">
        <v>0</v>
      </c>
      <c r="N12" s="1259">
        <v>0</v>
      </c>
      <c r="O12" s="1260"/>
      <c r="P12" s="1259">
        <v>0</v>
      </c>
      <c r="Q12" s="1260"/>
      <c r="R12" s="1259">
        <v>0</v>
      </c>
      <c r="S12" s="1260"/>
      <c r="T12" s="434">
        <v>0</v>
      </c>
      <c r="U12" s="1259">
        <v>0</v>
      </c>
      <c r="V12" s="1261"/>
      <c r="W12" s="1260"/>
      <c r="X12" s="434">
        <v>0</v>
      </c>
    </row>
    <row r="13" spans="1:24" ht="30" thickBot="1" x14ac:dyDescent="0.3">
      <c r="A13" s="232" t="s">
        <v>593</v>
      </c>
      <c r="B13" s="233" t="s">
        <v>718</v>
      </c>
      <c r="C13" s="1259">
        <v>0</v>
      </c>
      <c r="D13" s="1260"/>
      <c r="E13" s="434">
        <v>0</v>
      </c>
      <c r="F13" s="1259">
        <v>0</v>
      </c>
      <c r="G13" s="1260"/>
      <c r="H13" s="1259">
        <v>0</v>
      </c>
      <c r="I13" s="1260"/>
      <c r="J13" s="1259">
        <v>0</v>
      </c>
      <c r="K13" s="1261"/>
      <c r="L13" s="1260"/>
      <c r="M13" s="434">
        <v>0</v>
      </c>
      <c r="N13" s="1259">
        <v>0</v>
      </c>
      <c r="O13" s="1260"/>
      <c r="P13" s="1259">
        <v>0</v>
      </c>
      <c r="Q13" s="1260"/>
      <c r="R13" s="1259">
        <v>0</v>
      </c>
      <c r="S13" s="1260"/>
      <c r="T13" s="434">
        <v>0</v>
      </c>
      <c r="U13" s="1259">
        <v>0</v>
      </c>
      <c r="V13" s="1261"/>
      <c r="W13" s="1260"/>
      <c r="X13" s="434">
        <v>0</v>
      </c>
    </row>
    <row r="14" spans="1:24" ht="15.75" thickBot="1" x14ac:dyDescent="0.3">
      <c r="A14" s="234" t="s">
        <v>595</v>
      </c>
      <c r="B14" s="235" t="s">
        <v>0</v>
      </c>
      <c r="C14" s="1259">
        <v>0</v>
      </c>
      <c r="D14" s="1260"/>
      <c r="E14" s="434">
        <v>0</v>
      </c>
      <c r="F14" s="1259">
        <v>0</v>
      </c>
      <c r="G14" s="1260"/>
      <c r="H14" s="1259">
        <v>0</v>
      </c>
      <c r="I14" s="1260"/>
      <c r="J14" s="1259">
        <v>0</v>
      </c>
      <c r="K14" s="1261"/>
      <c r="L14" s="1260"/>
      <c r="M14" s="434">
        <v>0</v>
      </c>
      <c r="N14" s="1259">
        <v>0</v>
      </c>
      <c r="O14" s="1260"/>
      <c r="P14" s="1259">
        <v>0</v>
      </c>
      <c r="Q14" s="1260"/>
      <c r="R14" s="1259">
        <v>0</v>
      </c>
      <c r="S14" s="1260"/>
      <c r="T14" s="434">
        <v>0</v>
      </c>
      <c r="U14" s="1259">
        <v>0</v>
      </c>
      <c r="V14" s="1261"/>
      <c r="W14" s="1260"/>
      <c r="X14" s="434">
        <v>0</v>
      </c>
    </row>
  </sheetData>
  <mergeCells count="99">
    <mergeCell ref="C3:D3"/>
    <mergeCell ref="F3:H3"/>
    <mergeCell ref="J3:K3"/>
    <mergeCell ref="L3:M3"/>
    <mergeCell ref="N3:P3"/>
    <mergeCell ref="D2:F2"/>
    <mergeCell ref="H2:J2"/>
    <mergeCell ref="L2:N2"/>
    <mergeCell ref="O2:P2"/>
    <mergeCell ref="Q2:R2"/>
    <mergeCell ref="J5:M5"/>
    <mergeCell ref="N5:Q5"/>
    <mergeCell ref="W2:X2"/>
    <mergeCell ref="R3:S3"/>
    <mergeCell ref="U3:V3"/>
    <mergeCell ref="W3:X3"/>
    <mergeCell ref="T2:U2"/>
    <mergeCell ref="R5:T5"/>
    <mergeCell ref="U5:X5"/>
    <mergeCell ref="P6:Q6"/>
    <mergeCell ref="R6:S6"/>
    <mergeCell ref="U6:W6"/>
    <mergeCell ref="C4:E5"/>
    <mergeCell ref="F4:M4"/>
    <mergeCell ref="N4:P4"/>
    <mergeCell ref="R4:S4"/>
    <mergeCell ref="U4:V4"/>
    <mergeCell ref="W4:X4"/>
    <mergeCell ref="C6:D6"/>
    <mergeCell ref="F6:G6"/>
    <mergeCell ref="H6:I6"/>
    <mergeCell ref="J6:L6"/>
    <mergeCell ref="N6:O6"/>
    <mergeCell ref="F5:G5"/>
    <mergeCell ref="H5:I5"/>
    <mergeCell ref="R7:S7"/>
    <mergeCell ref="U7:W7"/>
    <mergeCell ref="C8:D8"/>
    <mergeCell ref="F8:G8"/>
    <mergeCell ref="H8:I8"/>
    <mergeCell ref="J8:L8"/>
    <mergeCell ref="N8:O8"/>
    <mergeCell ref="P8:Q8"/>
    <mergeCell ref="R8:S8"/>
    <mergeCell ref="U8:W8"/>
    <mergeCell ref="C7:D7"/>
    <mergeCell ref="F7:G7"/>
    <mergeCell ref="H7:I7"/>
    <mergeCell ref="J7:L7"/>
    <mergeCell ref="N7:O7"/>
    <mergeCell ref="P7:Q7"/>
    <mergeCell ref="R9:S9"/>
    <mergeCell ref="U9:W9"/>
    <mergeCell ref="C10:D10"/>
    <mergeCell ref="F10:G10"/>
    <mergeCell ref="H10:I10"/>
    <mergeCell ref="J10:L10"/>
    <mergeCell ref="N10:O10"/>
    <mergeCell ref="P10:Q10"/>
    <mergeCell ref="R10:S10"/>
    <mergeCell ref="U10:W10"/>
    <mergeCell ref="C9:D9"/>
    <mergeCell ref="F9:G9"/>
    <mergeCell ref="H9:I9"/>
    <mergeCell ref="J9:L9"/>
    <mergeCell ref="N9:O9"/>
    <mergeCell ref="P9:Q9"/>
    <mergeCell ref="R11:S11"/>
    <mergeCell ref="U11:W11"/>
    <mergeCell ref="C12:D12"/>
    <mergeCell ref="F12:G12"/>
    <mergeCell ref="H12:I12"/>
    <mergeCell ref="J12:L12"/>
    <mergeCell ref="N12:O12"/>
    <mergeCell ref="P12:Q12"/>
    <mergeCell ref="R12:S12"/>
    <mergeCell ref="U12:W12"/>
    <mergeCell ref="C11:D11"/>
    <mergeCell ref="F11:G11"/>
    <mergeCell ref="H11:I11"/>
    <mergeCell ref="J11:L11"/>
    <mergeCell ref="N11:O11"/>
    <mergeCell ref="P11:Q11"/>
    <mergeCell ref="R13:S13"/>
    <mergeCell ref="U13:W13"/>
    <mergeCell ref="C14:D14"/>
    <mergeCell ref="F14:G14"/>
    <mergeCell ref="H14:I14"/>
    <mergeCell ref="J14:L14"/>
    <mergeCell ref="N14:O14"/>
    <mergeCell ref="P14:Q14"/>
    <mergeCell ref="R14:S14"/>
    <mergeCell ref="U14:W14"/>
    <mergeCell ref="C13:D13"/>
    <mergeCell ref="F13:G13"/>
    <mergeCell ref="H13:I13"/>
    <mergeCell ref="J13:L13"/>
    <mergeCell ref="N13:O13"/>
    <mergeCell ref="P13:Q13"/>
  </mergeCells>
  <hyperlinks>
    <hyperlink ref="A1" location="Indhold!B79" display="Skema EU CQ8: Sikkerhedsstillelse opnået gennem overtagelse og fuldbyrdelsesprocesser – opdeling efter årgang" xr:uid="{51624722-4A52-4BC2-B00F-4537E8C605D1}"/>
  </hyperlinks>
  <pageMargins left="0.70866141732283472" right="0.70866141732283472" top="0.74803149606299213" bottom="0.74803149606299213" header="0.31496062992125984" footer="0.31496062992125984"/>
  <pageSetup paperSize="9" scale="57" orientation="landscape" r:id="rId1"/>
  <headerFooter>
    <oddHeader>&amp;CDA
Bilag XV</oddHead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5936B-B16F-41E3-BC8D-7BB8E44F1511}">
  <sheetPr>
    <tabColor rgb="FFFF0000"/>
    <pageSetUpPr fitToPage="1"/>
  </sheetPr>
  <dimension ref="A1:N50"/>
  <sheetViews>
    <sheetView showGridLines="0" zoomScaleNormal="100" workbookViewId="0"/>
  </sheetViews>
  <sheetFormatPr defaultColWidth="9.140625" defaultRowHeight="15" x14ac:dyDescent="0.25"/>
  <cols>
    <col min="1" max="1" width="16" customWidth="1"/>
    <col min="2" max="2" width="20" customWidth="1"/>
    <col min="3" max="3" width="13.7109375" customWidth="1"/>
    <col min="4" max="4" width="13.5703125" customWidth="1"/>
    <col min="5" max="5" width="15.140625" customWidth="1"/>
    <col min="6" max="6" width="19.42578125" customWidth="1"/>
    <col min="7" max="7" width="14.140625" customWidth="1"/>
    <col min="8" max="8" width="11.28515625" customWidth="1"/>
    <col min="9" max="9" width="14.42578125" customWidth="1"/>
    <col min="10" max="10" width="17.5703125" customWidth="1"/>
    <col min="11" max="11" width="15.140625" customWidth="1"/>
    <col min="12" max="12" width="15.5703125" customWidth="1"/>
    <col min="13" max="13" width="15.7109375" customWidth="1"/>
    <col min="14" max="14" width="12.7109375" customWidth="1"/>
  </cols>
  <sheetData>
    <row r="1" spans="1:14" x14ac:dyDescent="0.25">
      <c r="A1" s="866" t="s">
        <v>764</v>
      </c>
      <c r="M1" s="84"/>
    </row>
    <row r="3" spans="1:14" x14ac:dyDescent="0.25">
      <c r="A3" s="14"/>
    </row>
    <row r="4" spans="1:14" ht="120" x14ac:dyDescent="0.25">
      <c r="A4" s="1288" t="s">
        <v>765</v>
      </c>
      <c r="B4" s="239" t="s">
        <v>766</v>
      </c>
      <c r="C4" s="239" t="s">
        <v>661</v>
      </c>
      <c r="D4" s="239" t="s">
        <v>1264</v>
      </c>
      <c r="E4" s="6" t="s">
        <v>1265</v>
      </c>
      <c r="F4" s="6" t="s">
        <v>1266</v>
      </c>
      <c r="G4" s="6" t="s">
        <v>1267</v>
      </c>
      <c r="H4" s="6" t="s">
        <v>770</v>
      </c>
      <c r="I4" s="6" t="s">
        <v>1268</v>
      </c>
      <c r="J4" s="6" t="s">
        <v>1269</v>
      </c>
      <c r="K4" s="239" t="s">
        <v>773</v>
      </c>
      <c r="L4" s="239" t="s">
        <v>774</v>
      </c>
      <c r="M4" s="239" t="s">
        <v>775</v>
      </c>
      <c r="N4" s="239" t="s">
        <v>1270</v>
      </c>
    </row>
    <row r="5" spans="1:14" x14ac:dyDescent="0.25">
      <c r="A5" s="1289"/>
      <c r="B5" s="44" t="s">
        <v>103</v>
      </c>
      <c r="C5" s="44" t="s">
        <v>102</v>
      </c>
      <c r="D5" s="44" t="s">
        <v>97</v>
      </c>
      <c r="E5" s="44" t="s">
        <v>96</v>
      </c>
      <c r="F5" s="44" t="s">
        <v>95</v>
      </c>
      <c r="G5" s="44" t="s">
        <v>111</v>
      </c>
      <c r="H5" s="44" t="s">
        <v>112</v>
      </c>
      <c r="I5" s="44" t="s">
        <v>164</v>
      </c>
      <c r="J5" s="44" t="s">
        <v>323</v>
      </c>
      <c r="K5" s="44" t="s">
        <v>324</v>
      </c>
      <c r="L5" s="44" t="s">
        <v>325</v>
      </c>
      <c r="M5" s="44" t="s">
        <v>326</v>
      </c>
      <c r="N5" s="44" t="s">
        <v>327</v>
      </c>
    </row>
    <row r="6" spans="1:14" ht="30" x14ac:dyDescent="0.25">
      <c r="A6" s="247" t="s">
        <v>777</v>
      </c>
      <c r="B6" s="248"/>
      <c r="C6" s="249"/>
      <c r="D6" s="250"/>
      <c r="E6" s="250"/>
      <c r="F6" s="250"/>
      <c r="G6" s="250"/>
      <c r="H6" s="250"/>
      <c r="I6" s="250"/>
      <c r="J6" s="250"/>
      <c r="K6" s="250"/>
      <c r="L6" s="250"/>
      <c r="M6" s="250"/>
      <c r="N6" s="250"/>
    </row>
    <row r="7" spans="1:14" x14ac:dyDescent="0.25">
      <c r="A7" s="251"/>
      <c r="B7" s="252" t="s">
        <v>778</v>
      </c>
      <c r="C7" s="249"/>
      <c r="D7" s="250"/>
      <c r="E7" s="250"/>
      <c r="F7" s="250"/>
      <c r="G7" s="250"/>
      <c r="H7" s="250"/>
      <c r="I7" s="250"/>
      <c r="J7" s="250"/>
      <c r="K7" s="250"/>
      <c r="L7" s="250"/>
      <c r="M7" s="250"/>
      <c r="N7" s="250"/>
    </row>
    <row r="8" spans="1:14" x14ac:dyDescent="0.25">
      <c r="A8" s="253"/>
      <c r="B8" s="254" t="s">
        <v>779</v>
      </c>
      <c r="C8" s="249"/>
      <c r="D8" s="250"/>
      <c r="E8" s="250"/>
      <c r="F8" s="250"/>
      <c r="G8" s="250"/>
      <c r="H8" s="250"/>
      <c r="I8" s="250"/>
      <c r="J8" s="250"/>
      <c r="K8" s="250"/>
      <c r="L8" s="250"/>
      <c r="M8" s="250"/>
      <c r="N8" s="250"/>
    </row>
    <row r="9" spans="1:14" x14ac:dyDescent="0.25">
      <c r="A9" s="253"/>
      <c r="B9" s="254" t="s">
        <v>780</v>
      </c>
      <c r="C9" s="249"/>
      <c r="D9" s="250"/>
      <c r="E9" s="250"/>
      <c r="F9" s="250"/>
      <c r="G9" s="250"/>
      <c r="H9" s="250"/>
      <c r="I9" s="250"/>
      <c r="J9" s="250"/>
      <c r="K9" s="250"/>
      <c r="L9" s="250"/>
      <c r="M9" s="250"/>
      <c r="N9" s="250"/>
    </row>
    <row r="10" spans="1:14" x14ac:dyDescent="0.25">
      <c r="A10" s="253"/>
      <c r="B10" s="252" t="s">
        <v>781</v>
      </c>
      <c r="C10" s="249"/>
      <c r="D10" s="250"/>
      <c r="E10" s="250"/>
      <c r="F10" s="250"/>
      <c r="G10" s="250"/>
      <c r="H10" s="250"/>
      <c r="I10" s="250"/>
      <c r="J10" s="250"/>
      <c r="K10" s="250"/>
      <c r="L10" s="250"/>
      <c r="M10" s="250"/>
      <c r="N10" s="250"/>
    </row>
    <row r="11" spans="1:14" x14ac:dyDescent="0.25">
      <c r="A11" s="253"/>
      <c r="B11" s="252" t="s">
        <v>782</v>
      </c>
      <c r="C11" s="249"/>
      <c r="D11" s="250"/>
      <c r="E11" s="250"/>
      <c r="F11" s="250"/>
      <c r="G11" s="250"/>
      <c r="H11" s="250"/>
      <c r="I11" s="250"/>
      <c r="J11" s="250"/>
      <c r="K11" s="250"/>
      <c r="L11" s="250"/>
      <c r="M11" s="250"/>
      <c r="N11" s="250"/>
    </row>
    <row r="12" spans="1:14" x14ac:dyDescent="0.25">
      <c r="A12" s="253"/>
      <c r="B12" s="252" t="s">
        <v>783</v>
      </c>
      <c r="C12" s="249"/>
      <c r="D12" s="250"/>
      <c r="E12" s="250"/>
      <c r="F12" s="250"/>
      <c r="G12" s="250"/>
      <c r="H12" s="250"/>
      <c r="I12" s="250"/>
      <c r="J12" s="250"/>
      <c r="K12" s="250"/>
      <c r="L12" s="250"/>
      <c r="M12" s="250"/>
      <c r="N12" s="250"/>
    </row>
    <row r="13" spans="1:14" x14ac:dyDescent="0.25">
      <c r="A13" s="253"/>
      <c r="B13" s="252" t="s">
        <v>784</v>
      </c>
      <c r="C13" s="249"/>
      <c r="D13" s="250"/>
      <c r="E13" s="250"/>
      <c r="F13" s="250"/>
      <c r="G13" s="250"/>
      <c r="H13" s="250"/>
      <c r="I13" s="250"/>
      <c r="J13" s="250"/>
      <c r="K13" s="250"/>
      <c r="L13" s="250"/>
      <c r="M13" s="250"/>
      <c r="N13" s="250"/>
    </row>
    <row r="14" spans="1:14" x14ac:dyDescent="0.25">
      <c r="A14" s="253"/>
      <c r="B14" s="254" t="s">
        <v>785</v>
      </c>
      <c r="C14" s="249"/>
      <c r="D14" s="250"/>
      <c r="E14" s="250"/>
      <c r="F14" s="250"/>
      <c r="G14" s="250"/>
      <c r="H14" s="250"/>
      <c r="I14" s="250"/>
      <c r="J14" s="250"/>
      <c r="K14" s="250"/>
      <c r="L14" s="250"/>
      <c r="M14" s="250"/>
      <c r="N14" s="250"/>
    </row>
    <row r="15" spans="1:14" x14ac:dyDescent="0.25">
      <c r="A15" s="253"/>
      <c r="B15" s="254" t="s">
        <v>786</v>
      </c>
      <c r="C15" s="249"/>
      <c r="D15" s="250"/>
      <c r="E15" s="250"/>
      <c r="F15" s="250"/>
      <c r="G15" s="250"/>
      <c r="H15" s="250"/>
      <c r="I15" s="250"/>
      <c r="J15" s="250"/>
      <c r="K15" s="250"/>
      <c r="L15" s="250"/>
      <c r="M15" s="250"/>
      <c r="N15" s="250"/>
    </row>
    <row r="16" spans="1:14" x14ac:dyDescent="0.25">
      <c r="A16" s="253"/>
      <c r="B16" s="252" t="s">
        <v>787</v>
      </c>
      <c r="C16" s="249"/>
      <c r="D16" s="250"/>
      <c r="E16" s="250"/>
      <c r="F16" s="250"/>
      <c r="G16" s="250"/>
      <c r="H16" s="250"/>
      <c r="I16" s="250"/>
      <c r="J16" s="250"/>
      <c r="K16" s="250"/>
      <c r="L16" s="250"/>
      <c r="M16" s="250"/>
      <c r="N16" s="250"/>
    </row>
    <row r="17" spans="1:14" x14ac:dyDescent="0.25">
      <c r="A17" s="253"/>
      <c r="B17" s="254" t="s">
        <v>788</v>
      </c>
      <c r="C17" s="249"/>
      <c r="D17" s="250"/>
      <c r="E17" s="250"/>
      <c r="F17" s="250"/>
      <c r="G17" s="250"/>
      <c r="H17" s="250"/>
      <c r="I17" s="250"/>
      <c r="J17" s="250"/>
      <c r="K17" s="250"/>
      <c r="L17" s="250"/>
      <c r="M17" s="250"/>
      <c r="N17" s="250"/>
    </row>
    <row r="18" spans="1:14" x14ac:dyDescent="0.25">
      <c r="A18" s="253"/>
      <c r="B18" s="254" t="s">
        <v>789</v>
      </c>
      <c r="C18" s="249"/>
      <c r="D18" s="250"/>
      <c r="E18" s="250"/>
      <c r="F18" s="250"/>
      <c r="G18" s="250"/>
      <c r="H18" s="250"/>
      <c r="I18" s="250"/>
      <c r="J18" s="250"/>
      <c r="K18" s="250"/>
      <c r="L18" s="250"/>
      <c r="M18" s="250"/>
      <c r="N18" s="250"/>
    </row>
    <row r="19" spans="1:14" x14ac:dyDescent="0.25">
      <c r="A19" s="253"/>
      <c r="B19" s="252" t="s">
        <v>790</v>
      </c>
      <c r="C19" s="249"/>
      <c r="D19" s="250"/>
      <c r="E19" s="250"/>
      <c r="F19" s="250"/>
      <c r="G19" s="250"/>
      <c r="H19" s="250"/>
      <c r="I19" s="250"/>
      <c r="J19" s="250"/>
      <c r="K19" s="250"/>
      <c r="L19" s="250"/>
      <c r="M19" s="250"/>
      <c r="N19" s="250"/>
    </row>
    <row r="20" spans="1:14" x14ac:dyDescent="0.25">
      <c r="A20" s="253"/>
      <c r="B20" s="254" t="s">
        <v>791</v>
      </c>
      <c r="C20" s="249"/>
      <c r="D20" s="250"/>
      <c r="E20" s="250"/>
      <c r="F20" s="250"/>
      <c r="G20" s="250"/>
      <c r="H20" s="250"/>
      <c r="I20" s="250"/>
      <c r="J20" s="250"/>
      <c r="K20" s="250"/>
      <c r="L20" s="250"/>
      <c r="M20" s="250"/>
      <c r="N20" s="250"/>
    </row>
    <row r="21" spans="1:14" x14ac:dyDescent="0.25">
      <c r="A21" s="253"/>
      <c r="B21" s="254" t="s">
        <v>792</v>
      </c>
      <c r="C21" s="249"/>
      <c r="D21" s="250"/>
      <c r="E21" s="250"/>
      <c r="F21" s="250"/>
      <c r="G21" s="250"/>
      <c r="H21" s="250"/>
      <c r="I21" s="250"/>
      <c r="J21" s="250"/>
      <c r="K21" s="250"/>
      <c r="L21" s="250"/>
      <c r="M21" s="250"/>
      <c r="N21" s="250"/>
    </row>
    <row r="22" spans="1:14" x14ac:dyDescent="0.25">
      <c r="A22" s="253"/>
      <c r="B22" s="254" t="s">
        <v>793</v>
      </c>
      <c r="C22" s="249"/>
      <c r="D22" s="250"/>
      <c r="E22" s="250"/>
      <c r="F22" s="250"/>
      <c r="G22" s="250"/>
      <c r="H22" s="250"/>
      <c r="I22" s="250"/>
      <c r="J22" s="250"/>
      <c r="K22" s="250"/>
      <c r="L22" s="250"/>
      <c r="M22" s="250"/>
      <c r="N22" s="250"/>
    </row>
    <row r="23" spans="1:14" ht="30" x14ac:dyDescent="0.25">
      <c r="A23" s="255"/>
      <c r="B23" s="252" t="s">
        <v>794</v>
      </c>
      <c r="C23" s="249"/>
      <c r="D23" s="250"/>
      <c r="E23" s="250"/>
      <c r="F23" s="250"/>
      <c r="G23" s="250"/>
      <c r="H23" s="250"/>
      <c r="I23" s="250"/>
      <c r="J23" s="250"/>
      <c r="K23" s="250"/>
      <c r="L23" s="250"/>
      <c r="M23" s="250"/>
      <c r="N23" s="250"/>
    </row>
    <row r="24" spans="1:14" x14ac:dyDescent="0.25">
      <c r="A24" s="1290" t="s">
        <v>795</v>
      </c>
      <c r="B24" s="1291"/>
      <c r="C24" s="250"/>
      <c r="D24" s="250"/>
      <c r="E24" s="250"/>
      <c r="F24" s="250"/>
      <c r="G24" s="250"/>
      <c r="H24" s="250"/>
      <c r="I24" s="250"/>
      <c r="J24" s="250"/>
      <c r="K24" s="250"/>
      <c r="L24" s="250"/>
      <c r="M24" s="250"/>
      <c r="N24" s="250"/>
    </row>
    <row r="25" spans="1:14" x14ac:dyDescent="0.25">
      <c r="A25" s="1286" t="s">
        <v>796</v>
      </c>
      <c r="B25" s="1287"/>
      <c r="C25" s="250"/>
      <c r="D25" s="250"/>
      <c r="E25" s="250"/>
      <c r="F25" s="250"/>
      <c r="G25" s="256"/>
      <c r="H25" s="250"/>
      <c r="I25" s="256"/>
      <c r="J25" s="250"/>
      <c r="K25" s="250"/>
      <c r="L25" s="250"/>
      <c r="M25" s="250"/>
      <c r="N25" s="250"/>
    </row>
    <row r="26" spans="1:14" x14ac:dyDescent="0.25">
      <c r="A26" s="84"/>
      <c r="B26" s="84"/>
      <c r="C26" s="84"/>
      <c r="D26" s="84"/>
      <c r="E26" s="84"/>
      <c r="F26" s="84"/>
      <c r="G26" s="84"/>
      <c r="H26" s="84"/>
      <c r="I26" s="84"/>
      <c r="J26" s="84"/>
      <c r="K26" s="84"/>
      <c r="L26" s="84"/>
      <c r="M26" s="84"/>
      <c r="N26" s="84"/>
    </row>
    <row r="27" spans="1:14" x14ac:dyDescent="0.25">
      <c r="A27" s="84"/>
      <c r="B27" s="84"/>
      <c r="C27" s="84"/>
      <c r="D27" s="84"/>
      <c r="E27" s="84"/>
      <c r="F27" s="84"/>
      <c r="G27" s="84"/>
      <c r="H27" s="84"/>
      <c r="I27" s="84"/>
      <c r="J27" s="84"/>
      <c r="K27" s="84"/>
      <c r="L27" s="84"/>
      <c r="M27" s="84"/>
      <c r="N27" s="84"/>
    </row>
    <row r="28" spans="1:14" x14ac:dyDescent="0.25">
      <c r="A28" s="84"/>
      <c r="B28" s="84"/>
      <c r="C28" s="84"/>
      <c r="D28" s="84"/>
      <c r="E28" s="84"/>
      <c r="F28" s="84"/>
      <c r="G28" s="84"/>
      <c r="H28" s="84"/>
      <c r="I28" s="84"/>
      <c r="J28" s="84"/>
      <c r="K28" s="84"/>
      <c r="L28" s="84"/>
      <c r="M28" s="84"/>
      <c r="N28" s="84"/>
    </row>
    <row r="29" spans="1:14" ht="120" x14ac:dyDescent="0.25">
      <c r="A29" s="1292" t="s">
        <v>797</v>
      </c>
      <c r="B29" s="257" t="s">
        <v>766</v>
      </c>
      <c r="C29" s="239" t="s">
        <v>661</v>
      </c>
      <c r="D29" s="239" t="s">
        <v>767</v>
      </c>
      <c r="E29" s="6" t="s">
        <v>768</v>
      </c>
      <c r="F29" s="6" t="s">
        <v>739</v>
      </c>
      <c r="G29" s="6" t="s">
        <v>769</v>
      </c>
      <c r="H29" s="6" t="s">
        <v>770</v>
      </c>
      <c r="I29" s="6" t="s">
        <v>771</v>
      </c>
      <c r="J29" s="6" t="s">
        <v>772</v>
      </c>
      <c r="K29" s="239" t="s">
        <v>773</v>
      </c>
      <c r="L29" s="239" t="s">
        <v>774</v>
      </c>
      <c r="M29" s="239" t="s">
        <v>775</v>
      </c>
      <c r="N29" s="239" t="s">
        <v>776</v>
      </c>
    </row>
    <row r="30" spans="1:14" x14ac:dyDescent="0.25">
      <c r="A30" s="1293"/>
      <c r="B30" s="258" t="s">
        <v>103</v>
      </c>
      <c r="C30" s="44" t="s">
        <v>102</v>
      </c>
      <c r="D30" s="44" t="s">
        <v>97</v>
      </c>
      <c r="E30" s="44" t="s">
        <v>96</v>
      </c>
      <c r="F30" s="44" t="s">
        <v>95</v>
      </c>
      <c r="G30" s="44" t="s">
        <v>111</v>
      </c>
      <c r="H30" s="44" t="s">
        <v>112</v>
      </c>
      <c r="I30" s="44" t="s">
        <v>164</v>
      </c>
      <c r="J30" s="44" t="s">
        <v>323</v>
      </c>
      <c r="K30" s="44" t="s">
        <v>324</v>
      </c>
      <c r="L30" s="44" t="s">
        <v>325</v>
      </c>
      <c r="M30" s="44" t="s">
        <v>326</v>
      </c>
      <c r="N30" s="44" t="s">
        <v>327</v>
      </c>
    </row>
    <row r="31" spans="1:14" ht="30" x14ac:dyDescent="0.25">
      <c r="A31" s="247" t="s">
        <v>777</v>
      </c>
      <c r="B31" s="248"/>
      <c r="C31" s="249"/>
      <c r="D31" s="250"/>
      <c r="E31" s="250"/>
      <c r="F31" s="250"/>
      <c r="G31" s="250"/>
      <c r="H31" s="250"/>
      <c r="I31" s="250"/>
      <c r="J31" s="250"/>
      <c r="K31" s="250"/>
      <c r="L31" s="250"/>
      <c r="M31" s="250"/>
      <c r="N31" s="250"/>
    </row>
    <row r="32" spans="1:14" x14ac:dyDescent="0.25">
      <c r="A32" s="251"/>
      <c r="B32" s="252" t="s">
        <v>778</v>
      </c>
      <c r="C32" s="249"/>
      <c r="D32" s="250"/>
      <c r="E32" s="250"/>
      <c r="F32" s="250"/>
      <c r="G32" s="250"/>
      <c r="H32" s="250"/>
      <c r="I32" s="250"/>
      <c r="J32" s="250"/>
      <c r="K32" s="250"/>
      <c r="L32" s="250"/>
      <c r="M32" s="250"/>
      <c r="N32" s="250"/>
    </row>
    <row r="33" spans="1:14" x14ac:dyDescent="0.25">
      <c r="A33" s="253"/>
      <c r="B33" s="254" t="s">
        <v>779</v>
      </c>
      <c r="C33" s="249"/>
      <c r="D33" s="250"/>
      <c r="E33" s="250"/>
      <c r="F33" s="250"/>
      <c r="G33" s="250"/>
      <c r="H33" s="250"/>
      <c r="I33" s="250"/>
      <c r="J33" s="250"/>
      <c r="K33" s="250"/>
      <c r="L33" s="250"/>
      <c r="M33" s="250"/>
      <c r="N33" s="250"/>
    </row>
    <row r="34" spans="1:14" x14ac:dyDescent="0.25">
      <c r="A34" s="253"/>
      <c r="B34" s="254" t="s">
        <v>780</v>
      </c>
      <c r="C34" s="249"/>
      <c r="D34" s="250"/>
      <c r="E34" s="250"/>
      <c r="F34" s="250"/>
      <c r="G34" s="250"/>
      <c r="H34" s="250"/>
      <c r="I34" s="250"/>
      <c r="J34" s="250"/>
      <c r="K34" s="250"/>
      <c r="L34" s="250"/>
      <c r="M34" s="250"/>
      <c r="N34" s="250"/>
    </row>
    <row r="35" spans="1:14" x14ac:dyDescent="0.25">
      <c r="A35" s="253"/>
      <c r="B35" s="252" t="s">
        <v>781</v>
      </c>
      <c r="C35" s="249"/>
      <c r="D35" s="250"/>
      <c r="E35" s="250"/>
      <c r="F35" s="250"/>
      <c r="G35" s="250"/>
      <c r="H35" s="250"/>
      <c r="I35" s="250"/>
      <c r="J35" s="250"/>
      <c r="K35" s="250"/>
      <c r="L35" s="250"/>
      <c r="M35" s="250"/>
      <c r="N35" s="250"/>
    </row>
    <row r="36" spans="1:14" x14ac:dyDescent="0.25">
      <c r="A36" s="253"/>
      <c r="B36" s="252" t="s">
        <v>782</v>
      </c>
      <c r="C36" s="249"/>
      <c r="D36" s="250"/>
      <c r="E36" s="250"/>
      <c r="F36" s="250"/>
      <c r="G36" s="250"/>
      <c r="H36" s="250"/>
      <c r="I36" s="250"/>
      <c r="J36" s="250"/>
      <c r="K36" s="250"/>
      <c r="L36" s="250"/>
      <c r="M36" s="250"/>
      <c r="N36" s="250"/>
    </row>
    <row r="37" spans="1:14" x14ac:dyDescent="0.25">
      <c r="A37" s="253"/>
      <c r="B37" s="252" t="s">
        <v>783</v>
      </c>
      <c r="C37" s="249"/>
      <c r="D37" s="250"/>
      <c r="E37" s="250"/>
      <c r="F37" s="250"/>
      <c r="G37" s="250"/>
      <c r="H37" s="250"/>
      <c r="I37" s="250"/>
      <c r="J37" s="250"/>
      <c r="K37" s="250"/>
      <c r="L37" s="250"/>
      <c r="M37" s="250"/>
      <c r="N37" s="250"/>
    </row>
    <row r="38" spans="1:14" x14ac:dyDescent="0.25">
      <c r="A38" s="253"/>
      <c r="B38" s="252" t="s">
        <v>784</v>
      </c>
      <c r="C38" s="249"/>
      <c r="D38" s="250"/>
      <c r="E38" s="250"/>
      <c r="F38" s="250"/>
      <c r="G38" s="250"/>
      <c r="H38" s="250"/>
      <c r="I38" s="250"/>
      <c r="J38" s="250"/>
      <c r="K38" s="250"/>
      <c r="L38" s="250"/>
      <c r="M38" s="250"/>
      <c r="N38" s="250"/>
    </row>
    <row r="39" spans="1:14" x14ac:dyDescent="0.25">
      <c r="A39" s="253"/>
      <c r="B39" s="254" t="s">
        <v>785</v>
      </c>
      <c r="C39" s="249"/>
      <c r="D39" s="250"/>
      <c r="E39" s="250"/>
      <c r="F39" s="250"/>
      <c r="G39" s="250"/>
      <c r="H39" s="250"/>
      <c r="I39" s="250"/>
      <c r="J39" s="250"/>
      <c r="K39" s="250"/>
      <c r="L39" s="250"/>
      <c r="M39" s="250"/>
      <c r="N39" s="250"/>
    </row>
    <row r="40" spans="1:14" x14ac:dyDescent="0.25">
      <c r="A40" s="253"/>
      <c r="B40" s="254" t="s">
        <v>786</v>
      </c>
      <c r="C40" s="249"/>
      <c r="D40" s="250"/>
      <c r="E40" s="250"/>
      <c r="F40" s="250"/>
      <c r="G40" s="250"/>
      <c r="H40" s="250"/>
      <c r="I40" s="250"/>
      <c r="J40" s="250"/>
      <c r="K40" s="250"/>
      <c r="L40" s="250"/>
      <c r="M40" s="250"/>
      <c r="N40" s="250"/>
    </row>
    <row r="41" spans="1:14" x14ac:dyDescent="0.25">
      <c r="A41" s="253"/>
      <c r="B41" s="252" t="s">
        <v>787</v>
      </c>
      <c r="C41" s="249"/>
      <c r="D41" s="250"/>
      <c r="E41" s="250"/>
      <c r="F41" s="250"/>
      <c r="G41" s="250"/>
      <c r="H41" s="250"/>
      <c r="I41" s="250"/>
      <c r="J41" s="250"/>
      <c r="K41" s="250"/>
      <c r="L41" s="250"/>
      <c r="M41" s="250"/>
      <c r="N41" s="250"/>
    </row>
    <row r="42" spans="1:14" x14ac:dyDescent="0.25">
      <c r="A42" s="253"/>
      <c r="B42" s="254" t="s">
        <v>788</v>
      </c>
      <c r="C42" s="249"/>
      <c r="D42" s="250"/>
      <c r="E42" s="250"/>
      <c r="F42" s="250"/>
      <c r="G42" s="250"/>
      <c r="H42" s="250"/>
      <c r="I42" s="250"/>
      <c r="J42" s="250"/>
      <c r="K42" s="250"/>
      <c r="L42" s="250"/>
      <c r="M42" s="250"/>
      <c r="N42" s="250"/>
    </row>
    <row r="43" spans="1:14" x14ac:dyDescent="0.25">
      <c r="A43" s="253"/>
      <c r="B43" s="254" t="s">
        <v>789</v>
      </c>
      <c r="C43" s="249"/>
      <c r="D43" s="250"/>
      <c r="E43" s="250"/>
      <c r="F43" s="250"/>
      <c r="G43" s="250"/>
      <c r="H43" s="250"/>
      <c r="I43" s="250"/>
      <c r="J43" s="250"/>
      <c r="K43" s="250"/>
      <c r="L43" s="250"/>
      <c r="M43" s="250"/>
      <c r="N43" s="250"/>
    </row>
    <row r="44" spans="1:14" x14ac:dyDescent="0.25">
      <c r="A44" s="253"/>
      <c r="B44" s="252" t="s">
        <v>790</v>
      </c>
      <c r="C44" s="249"/>
      <c r="D44" s="250"/>
      <c r="E44" s="250"/>
      <c r="F44" s="250"/>
      <c r="G44" s="250"/>
      <c r="H44" s="250"/>
      <c r="I44" s="250"/>
      <c r="J44" s="250"/>
      <c r="K44" s="250"/>
      <c r="L44" s="250"/>
      <c r="M44" s="250"/>
      <c r="N44" s="250"/>
    </row>
    <row r="45" spans="1:14" x14ac:dyDescent="0.25">
      <c r="A45" s="253"/>
      <c r="B45" s="254" t="s">
        <v>791</v>
      </c>
      <c r="C45" s="249"/>
      <c r="D45" s="250"/>
      <c r="E45" s="250"/>
      <c r="F45" s="250"/>
      <c r="G45" s="250"/>
      <c r="H45" s="250"/>
      <c r="I45" s="250"/>
      <c r="J45" s="250"/>
      <c r="K45" s="250"/>
      <c r="L45" s="250"/>
      <c r="M45" s="250"/>
      <c r="N45" s="250"/>
    </row>
    <row r="46" spans="1:14" x14ac:dyDescent="0.25">
      <c r="A46" s="253"/>
      <c r="B46" s="254" t="s">
        <v>792</v>
      </c>
      <c r="C46" s="249"/>
      <c r="D46" s="250"/>
      <c r="E46" s="250"/>
      <c r="F46" s="250"/>
      <c r="G46" s="250"/>
      <c r="H46" s="250"/>
      <c r="I46" s="250"/>
      <c r="J46" s="250"/>
      <c r="K46" s="250"/>
      <c r="L46" s="250"/>
      <c r="M46" s="250"/>
      <c r="N46" s="250"/>
    </row>
    <row r="47" spans="1:14" x14ac:dyDescent="0.25">
      <c r="A47" s="253"/>
      <c r="B47" s="254" t="s">
        <v>793</v>
      </c>
      <c r="C47" s="249"/>
      <c r="D47" s="250"/>
      <c r="E47" s="250"/>
      <c r="F47" s="250"/>
      <c r="G47" s="250"/>
      <c r="H47" s="250"/>
      <c r="I47" s="250"/>
      <c r="J47" s="250"/>
      <c r="K47" s="250"/>
      <c r="L47" s="250"/>
      <c r="M47" s="250"/>
      <c r="N47" s="250"/>
    </row>
    <row r="48" spans="1:14" ht="30" x14ac:dyDescent="0.25">
      <c r="A48" s="255"/>
      <c r="B48" s="252" t="s">
        <v>794</v>
      </c>
      <c r="C48" s="249"/>
      <c r="D48" s="250"/>
      <c r="E48" s="250"/>
      <c r="F48" s="250"/>
      <c r="G48" s="250"/>
      <c r="H48" s="250"/>
      <c r="I48" s="250"/>
      <c r="J48" s="250"/>
      <c r="K48" s="250"/>
      <c r="L48" s="250"/>
      <c r="M48" s="250"/>
      <c r="N48" s="250"/>
    </row>
    <row r="49" spans="1:14" x14ac:dyDescent="0.25">
      <c r="A49" s="1290" t="s">
        <v>795</v>
      </c>
      <c r="B49" s="1291"/>
      <c r="C49" s="250"/>
      <c r="D49" s="250"/>
      <c r="E49" s="250"/>
      <c r="F49" s="250"/>
      <c r="G49" s="250"/>
      <c r="H49" s="250"/>
      <c r="I49" s="250"/>
      <c r="J49" s="250"/>
      <c r="K49" s="250"/>
      <c r="L49" s="250"/>
      <c r="M49" s="250"/>
      <c r="N49" s="250"/>
    </row>
    <row r="50" spans="1:14" x14ac:dyDescent="0.25">
      <c r="A50" s="1286" t="s">
        <v>796</v>
      </c>
      <c r="B50" s="1287"/>
      <c r="C50" s="250"/>
      <c r="D50" s="250"/>
      <c r="E50" s="250"/>
      <c r="F50" s="250"/>
      <c r="G50" s="256"/>
      <c r="H50" s="250"/>
      <c r="I50" s="256"/>
      <c r="J50" s="250"/>
      <c r="K50" s="250"/>
      <c r="L50" s="250"/>
      <c r="M50" s="250"/>
      <c r="N50" s="250"/>
    </row>
  </sheetData>
  <mergeCells count="6">
    <mergeCell ref="A50:B50"/>
    <mergeCell ref="A4:A5"/>
    <mergeCell ref="A24:B24"/>
    <mergeCell ref="A25:B25"/>
    <mergeCell ref="A29:A30"/>
    <mergeCell ref="A49:B49"/>
  </mergeCells>
  <hyperlinks>
    <hyperlink ref="A1" location="Indhold!B80" display="Skema EU CR6 — IRB-metoden — kreditrisikoeksponeringer efter eksponeringsklasse og PD-interval" xr:uid="{89CA4AC0-6838-403B-AA47-E0A287AB59EB}"/>
  </hyperlinks>
  <pageMargins left="0.70866141732283472" right="0.70866141732283472" top="0.74803149606299213" bottom="0.74803149606299213" header="0.31496062992125984" footer="0.31496062992125984"/>
  <pageSetup paperSize="9" scale="61" fitToHeight="0" orientation="landscape" r:id="rId1"/>
  <headerFooter>
    <oddHeader>&amp;CDA
Bilag XXI</oddHead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8FC56-44E4-4DB4-9F92-433A4195D960}">
  <sheetPr>
    <tabColor rgb="FFFF0000"/>
    <pageSetUpPr autoPageBreaks="0" fitToPage="1"/>
  </sheetPr>
  <dimension ref="B2:J23"/>
  <sheetViews>
    <sheetView showGridLines="0" zoomScaleNormal="100" zoomScaleSheetLayoutView="100" workbookViewId="0">
      <selection activeCell="B2" sqref="B2"/>
    </sheetView>
  </sheetViews>
  <sheetFormatPr defaultColWidth="9.140625" defaultRowHeight="15" x14ac:dyDescent="0.25"/>
  <cols>
    <col min="2" max="2" width="6.7109375" customWidth="1"/>
    <col min="3" max="3" width="47" customWidth="1"/>
    <col min="4" max="4" width="31" customWidth="1"/>
    <col min="5" max="8" width="23.28515625" customWidth="1"/>
  </cols>
  <sheetData>
    <row r="2" spans="2:10" ht="21" x14ac:dyDescent="0.35">
      <c r="B2" s="866" t="s">
        <v>798</v>
      </c>
      <c r="C2" s="259"/>
      <c r="D2" s="259"/>
      <c r="E2" s="260"/>
      <c r="F2" s="260"/>
      <c r="G2" s="260"/>
      <c r="H2" s="260"/>
      <c r="I2" s="260"/>
    </row>
    <row r="4" spans="2:10" x14ac:dyDescent="0.25">
      <c r="B4" s="261"/>
      <c r="C4" s="261"/>
      <c r="D4" s="261"/>
      <c r="E4" s="261"/>
      <c r="F4" s="261"/>
    </row>
    <row r="5" spans="2:10" x14ac:dyDescent="0.25">
      <c r="B5" s="32"/>
      <c r="C5" s="32"/>
      <c r="D5" s="32"/>
      <c r="E5" s="262"/>
      <c r="F5" s="262"/>
      <c r="J5" s="32"/>
    </row>
    <row r="6" spans="2:10" ht="42" x14ac:dyDescent="0.25">
      <c r="B6" s="263"/>
      <c r="C6" s="264"/>
      <c r="D6" s="265" t="s">
        <v>799</v>
      </c>
      <c r="E6" s="266" t="s">
        <v>800</v>
      </c>
      <c r="F6" s="266" t="s">
        <v>801</v>
      </c>
      <c r="G6" s="266" t="s">
        <v>802</v>
      </c>
      <c r="H6" s="266" t="s">
        <v>803</v>
      </c>
    </row>
    <row r="7" spans="2:10" x14ac:dyDescent="0.25">
      <c r="B7" s="263"/>
      <c r="C7" s="263"/>
      <c r="D7" s="267" t="s">
        <v>103</v>
      </c>
      <c r="E7" s="268" t="s">
        <v>102</v>
      </c>
      <c r="F7" s="268" t="s">
        <v>97</v>
      </c>
      <c r="G7" s="268" t="s">
        <v>96</v>
      </c>
      <c r="H7" s="268" t="s">
        <v>95</v>
      </c>
    </row>
    <row r="8" spans="2:10" x14ac:dyDescent="0.25">
      <c r="B8" s="269">
        <v>1</v>
      </c>
      <c r="C8" s="269" t="s">
        <v>804</v>
      </c>
      <c r="D8" s="270"/>
      <c r="E8" s="270"/>
      <c r="F8" s="269"/>
      <c r="G8" s="269"/>
      <c r="H8" s="269"/>
    </row>
    <row r="9" spans="2:10" x14ac:dyDescent="0.25">
      <c r="B9" s="269">
        <v>1.1000000000000001</v>
      </c>
      <c r="C9" s="271" t="s">
        <v>805</v>
      </c>
      <c r="D9" s="272"/>
      <c r="E9" s="269"/>
      <c r="F9" s="269"/>
      <c r="G9" s="269"/>
      <c r="H9" s="269"/>
    </row>
    <row r="10" spans="2:10" x14ac:dyDescent="0.25">
      <c r="B10" s="269">
        <v>1.2</v>
      </c>
      <c r="C10" s="271" t="s">
        <v>806</v>
      </c>
      <c r="D10" s="272"/>
      <c r="E10" s="269"/>
      <c r="F10" s="269"/>
      <c r="G10" s="269"/>
      <c r="H10" s="269"/>
    </row>
    <row r="11" spans="2:10" x14ac:dyDescent="0.25">
      <c r="B11" s="269">
        <v>2</v>
      </c>
      <c r="C11" s="269" t="s">
        <v>476</v>
      </c>
      <c r="D11" s="269"/>
      <c r="E11" s="269"/>
      <c r="F11" s="269"/>
      <c r="G11" s="269"/>
      <c r="H11" s="269"/>
    </row>
    <row r="12" spans="2:10" x14ac:dyDescent="0.25">
      <c r="B12" s="269">
        <v>3</v>
      </c>
      <c r="C12" s="269" t="s">
        <v>482</v>
      </c>
      <c r="D12" s="269"/>
      <c r="E12" s="269"/>
      <c r="F12" s="269"/>
      <c r="G12" s="269"/>
      <c r="H12" s="269"/>
    </row>
    <row r="13" spans="2:10" ht="21" x14ac:dyDescent="0.25">
      <c r="B13" s="269">
        <v>3.1</v>
      </c>
      <c r="C13" s="271" t="s">
        <v>807</v>
      </c>
      <c r="D13" s="272"/>
      <c r="E13" s="269"/>
      <c r="F13" s="269"/>
      <c r="G13" s="269"/>
      <c r="H13" s="269"/>
    </row>
    <row r="14" spans="2:10" ht="21" x14ac:dyDescent="0.25">
      <c r="B14" s="269">
        <v>3.2</v>
      </c>
      <c r="C14" s="271" t="s">
        <v>808</v>
      </c>
      <c r="D14" s="272"/>
      <c r="E14" s="269"/>
      <c r="F14" s="269"/>
      <c r="G14" s="269"/>
      <c r="H14" s="269"/>
    </row>
    <row r="15" spans="2:10" x14ac:dyDescent="0.25">
      <c r="B15" s="269">
        <v>4</v>
      </c>
      <c r="C15" s="269" t="s">
        <v>748</v>
      </c>
      <c r="D15" s="269"/>
      <c r="E15" s="269"/>
      <c r="F15" s="269"/>
      <c r="G15" s="269"/>
      <c r="H15" s="269"/>
    </row>
    <row r="16" spans="2:10" x14ac:dyDescent="0.25">
      <c r="B16" s="269">
        <v>4.0999999999999996</v>
      </c>
      <c r="C16" s="273" t="s">
        <v>809</v>
      </c>
      <c r="D16" s="274"/>
      <c r="E16" s="269"/>
      <c r="F16" s="269"/>
      <c r="G16" s="269"/>
      <c r="H16" s="269"/>
    </row>
    <row r="17" spans="2:8" x14ac:dyDescent="0.25">
      <c r="B17" s="269">
        <v>4.2</v>
      </c>
      <c r="C17" s="273" t="s">
        <v>810</v>
      </c>
      <c r="D17" s="274"/>
      <c r="E17" s="269"/>
      <c r="F17" s="269"/>
      <c r="G17" s="269"/>
      <c r="H17" s="269"/>
    </row>
    <row r="18" spans="2:8" x14ac:dyDescent="0.25">
      <c r="B18" s="269">
        <v>4.3</v>
      </c>
      <c r="C18" s="273" t="s">
        <v>811</v>
      </c>
      <c r="D18" s="274"/>
      <c r="E18" s="269"/>
      <c r="F18" s="269"/>
      <c r="G18" s="269"/>
      <c r="H18" s="269"/>
    </row>
    <row r="19" spans="2:8" x14ac:dyDescent="0.25">
      <c r="B19" s="269">
        <v>4.4000000000000004</v>
      </c>
      <c r="C19" s="273" t="s">
        <v>812</v>
      </c>
      <c r="D19" s="274"/>
      <c r="E19" s="269"/>
      <c r="F19" s="269"/>
      <c r="G19" s="269"/>
      <c r="H19" s="269"/>
    </row>
    <row r="20" spans="2:8" x14ac:dyDescent="0.25">
      <c r="B20" s="269">
        <v>4.5</v>
      </c>
      <c r="C20" s="273" t="s">
        <v>813</v>
      </c>
      <c r="D20" s="274"/>
      <c r="E20" s="269"/>
      <c r="F20" s="269"/>
      <c r="G20" s="269"/>
      <c r="H20" s="269"/>
    </row>
    <row r="21" spans="2:8" x14ac:dyDescent="0.25">
      <c r="B21" s="269">
        <v>5</v>
      </c>
      <c r="C21" s="269" t="s">
        <v>182</v>
      </c>
      <c r="D21" s="269"/>
      <c r="E21" s="269"/>
      <c r="F21" s="269"/>
      <c r="G21" s="269"/>
      <c r="H21" s="269"/>
    </row>
    <row r="22" spans="2:8" x14ac:dyDescent="0.25">
      <c r="B22" s="269">
        <v>6</v>
      </c>
      <c r="C22" s="269" t="s">
        <v>814</v>
      </c>
      <c r="D22" s="269"/>
      <c r="E22" s="269"/>
      <c r="F22" s="269"/>
      <c r="G22" s="269"/>
      <c r="H22" s="269"/>
    </row>
    <row r="23" spans="2:8" x14ac:dyDescent="0.25">
      <c r="B23" s="269">
        <v>7</v>
      </c>
      <c r="C23" s="275" t="s">
        <v>815</v>
      </c>
      <c r="D23" s="275"/>
      <c r="E23" s="269"/>
      <c r="F23" s="269"/>
      <c r="G23" s="269"/>
      <c r="H23" s="269"/>
    </row>
  </sheetData>
  <hyperlinks>
    <hyperlink ref="B2" location="Indhold!B81" display="Skema EU CR6-A – IRB-metoden – anvendelsesområdet for IRB-metoden og SA-metoden" xr:uid="{3BB5EE15-D20F-4D33-8EB8-2D9F572E72A2}"/>
  </hyperlinks>
  <pageMargins left="0.70866141732283472" right="0.70866141732283472" top="0.74803149606299213" bottom="0.74803149606299213" header="0.31496062992125984" footer="0.31496062992125984"/>
  <pageSetup paperSize="9" scale="70" orientation="landscape" r:id="rId1"/>
  <headerFooter>
    <oddHeader>&amp;CDA
Bilag XXI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1C8F5-B42C-488D-8591-0E944784F22B}">
  <sheetPr>
    <tabColor rgb="FFFF0000"/>
    <pageSetUpPr autoPageBreaks="0" fitToPage="1"/>
  </sheetPr>
  <dimension ref="C2:K26"/>
  <sheetViews>
    <sheetView showGridLines="0" zoomScaleNormal="100" zoomScaleSheetLayoutView="100" zoomScalePageLayoutView="80" workbookViewId="0">
      <selection activeCell="C2" sqref="C2"/>
    </sheetView>
  </sheetViews>
  <sheetFormatPr defaultColWidth="9.140625" defaultRowHeight="15" x14ac:dyDescent="0.25"/>
  <cols>
    <col min="3" max="3" width="8.42578125" customWidth="1"/>
    <col min="4" max="4" width="51.5703125" customWidth="1"/>
    <col min="5" max="5" width="31.5703125" customWidth="1"/>
    <col min="6" max="6" width="30.42578125" bestFit="1" customWidth="1"/>
  </cols>
  <sheetData>
    <row r="2" spans="3:11" ht="21" x14ac:dyDescent="0.35">
      <c r="C2" s="866" t="s">
        <v>816</v>
      </c>
      <c r="D2" s="259"/>
      <c r="E2" s="259"/>
      <c r="F2" s="259"/>
      <c r="G2" s="238"/>
      <c r="H2" s="238"/>
      <c r="I2" s="238"/>
      <c r="J2" s="238"/>
      <c r="K2" s="238"/>
    </row>
    <row r="4" spans="3:11" x14ac:dyDescent="0.25">
      <c r="C4" s="261"/>
      <c r="D4" s="261"/>
      <c r="E4" s="261"/>
      <c r="F4" s="261"/>
    </row>
    <row r="5" spans="3:11" x14ac:dyDescent="0.25">
      <c r="C5" s="196"/>
      <c r="D5" s="196"/>
      <c r="E5" s="262"/>
      <c r="F5" s="262"/>
    </row>
    <row r="6" spans="3:11" ht="33" x14ac:dyDescent="0.25">
      <c r="C6" s="277"/>
      <c r="D6" s="277"/>
      <c r="E6" s="278" t="s">
        <v>817</v>
      </c>
      <c r="F6" s="278" t="s">
        <v>818</v>
      </c>
    </row>
    <row r="7" spans="3:11" ht="16.5" x14ac:dyDescent="0.25">
      <c r="C7" s="1294"/>
      <c r="D7" s="1294"/>
      <c r="E7" s="279" t="s">
        <v>103</v>
      </c>
      <c r="F7" s="279" t="s">
        <v>102</v>
      </c>
    </row>
    <row r="8" spans="3:11" ht="16.5" x14ac:dyDescent="0.25">
      <c r="C8" s="446">
        <v>1</v>
      </c>
      <c r="D8" s="447" t="s">
        <v>819</v>
      </c>
      <c r="E8" s="281"/>
      <c r="F8" s="281"/>
    </row>
    <row r="9" spans="3:11" ht="16.5" x14ac:dyDescent="0.25">
      <c r="C9" s="446">
        <v>2</v>
      </c>
      <c r="D9" s="446" t="s">
        <v>820</v>
      </c>
      <c r="E9" s="280"/>
      <c r="F9" s="280"/>
    </row>
    <row r="10" spans="3:11" ht="16.5" x14ac:dyDescent="0.25">
      <c r="C10" s="446">
        <v>3</v>
      </c>
      <c r="D10" s="446" t="s">
        <v>476</v>
      </c>
      <c r="E10" s="280"/>
      <c r="F10" s="280"/>
    </row>
    <row r="11" spans="3:11" ht="16.5" x14ac:dyDescent="0.25">
      <c r="C11" s="446">
        <v>4</v>
      </c>
      <c r="D11" s="446" t="s">
        <v>821</v>
      </c>
      <c r="E11" s="280"/>
      <c r="F11" s="280"/>
    </row>
    <row r="12" spans="3:11" ht="16.5" x14ac:dyDescent="0.25">
      <c r="C12" s="448">
        <v>4.0999999999999996</v>
      </c>
      <c r="D12" s="448" t="s">
        <v>822</v>
      </c>
      <c r="E12" s="280"/>
      <c r="F12" s="280"/>
    </row>
    <row r="13" spans="3:11" ht="16.5" x14ac:dyDescent="0.25">
      <c r="C13" s="448">
        <v>4.2</v>
      </c>
      <c r="D13" s="448" t="s">
        <v>823</v>
      </c>
      <c r="E13" s="280"/>
      <c r="F13" s="280"/>
    </row>
    <row r="14" spans="3:11" ht="16.5" x14ac:dyDescent="0.25">
      <c r="C14" s="446">
        <v>5</v>
      </c>
      <c r="D14" s="447" t="s">
        <v>824</v>
      </c>
      <c r="E14" s="281"/>
      <c r="F14" s="281"/>
    </row>
    <row r="15" spans="3:11" ht="16.5" x14ac:dyDescent="0.25">
      <c r="C15" s="446">
        <v>6</v>
      </c>
      <c r="D15" s="446" t="s">
        <v>820</v>
      </c>
      <c r="E15" s="280"/>
      <c r="F15" s="280"/>
    </row>
    <row r="16" spans="3:11" ht="16.5" x14ac:dyDescent="0.25">
      <c r="C16" s="446">
        <v>7</v>
      </c>
      <c r="D16" s="446" t="s">
        <v>476</v>
      </c>
      <c r="E16" s="280"/>
      <c r="F16" s="280"/>
    </row>
    <row r="17" spans="3:6" ht="16.5" x14ac:dyDescent="0.25">
      <c r="C17" s="446">
        <v>8</v>
      </c>
      <c r="D17" s="446" t="s">
        <v>821</v>
      </c>
      <c r="E17" s="280"/>
      <c r="F17" s="280" t="s">
        <v>825</v>
      </c>
    </row>
    <row r="18" spans="3:6" ht="17.25" x14ac:dyDescent="0.25">
      <c r="C18" s="449">
        <v>8.1</v>
      </c>
      <c r="D18" s="448" t="s">
        <v>822</v>
      </c>
      <c r="E18" s="280"/>
      <c r="F18" s="280"/>
    </row>
    <row r="19" spans="3:6" ht="17.25" x14ac:dyDescent="0.25">
      <c r="C19" s="449">
        <v>8.1999999999999993</v>
      </c>
      <c r="D19" s="448" t="s">
        <v>823</v>
      </c>
      <c r="E19" s="280"/>
      <c r="F19" s="280"/>
    </row>
    <row r="20" spans="3:6" ht="17.25" x14ac:dyDescent="0.25">
      <c r="C20" s="449">
        <v>9</v>
      </c>
      <c r="D20" s="446" t="s">
        <v>748</v>
      </c>
      <c r="E20" s="280"/>
      <c r="F20" s="280"/>
    </row>
    <row r="21" spans="3:6" ht="33" x14ac:dyDescent="0.25">
      <c r="C21" s="449">
        <v>9.1</v>
      </c>
      <c r="D21" s="448" t="s">
        <v>826</v>
      </c>
      <c r="E21" s="280"/>
      <c r="F21" s="280"/>
    </row>
    <row r="22" spans="3:6" ht="33" x14ac:dyDescent="0.25">
      <c r="C22" s="449">
        <v>9.1999999999999993</v>
      </c>
      <c r="D22" s="448" t="s">
        <v>827</v>
      </c>
      <c r="E22" s="280"/>
      <c r="F22" s="280"/>
    </row>
    <row r="23" spans="3:6" ht="17.25" x14ac:dyDescent="0.25">
      <c r="C23" s="449">
        <v>9.3000000000000007</v>
      </c>
      <c r="D23" s="448" t="s">
        <v>811</v>
      </c>
      <c r="E23" s="280"/>
      <c r="F23" s="280"/>
    </row>
    <row r="24" spans="3:6" ht="17.25" x14ac:dyDescent="0.25">
      <c r="C24" s="449">
        <v>9.4</v>
      </c>
      <c r="D24" s="448" t="s">
        <v>828</v>
      </c>
      <c r="E24" s="280"/>
      <c r="F24" s="280"/>
    </row>
    <row r="25" spans="3:6" ht="17.25" x14ac:dyDescent="0.25">
      <c r="C25" s="449">
        <v>9.5</v>
      </c>
      <c r="D25" s="448" t="s">
        <v>829</v>
      </c>
      <c r="E25" s="280"/>
      <c r="F25" s="280"/>
    </row>
    <row r="26" spans="3:6" s="32" customFormat="1" ht="39.75" customHeight="1" x14ac:dyDescent="0.25">
      <c r="C26" s="446">
        <v>10</v>
      </c>
      <c r="D26" s="447" t="s">
        <v>830</v>
      </c>
      <c r="E26" s="281"/>
      <c r="F26" s="281"/>
    </row>
  </sheetData>
  <mergeCells count="1">
    <mergeCell ref="C7:D7"/>
  </mergeCells>
  <hyperlinks>
    <hyperlink ref="C2" location="Indhold!B82" display="Skema EU CR7 – IRB-metoden – Virkning af kreditderivater anvendt som CRM-teknikker på de risikovægtede eksponeringer" xr:uid="{1F1F5BFD-EFAA-41CB-8E66-9EEE1487C3B8}"/>
  </hyperlinks>
  <pageMargins left="0.70866141732283472" right="0.70866141732283472" top="0.74803149606299213" bottom="0.74803149606299213" header="0.31496062992125984" footer="0.31496062992125984"/>
  <pageSetup paperSize="9" scale="70" orientation="landscape" r:id="rId1"/>
  <headerFooter>
    <oddHeader>&amp;CDA
Bilag XXI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38BA6-4208-4C51-8CDD-DD28A4169483}">
  <sheetPr>
    <tabColor rgb="FFFF0000"/>
    <pageSetUpPr fitToPage="1"/>
  </sheetPr>
  <dimension ref="A1:P36"/>
  <sheetViews>
    <sheetView showGridLines="0" zoomScaleNormal="100" zoomScalePageLayoutView="80" workbookViewId="0"/>
  </sheetViews>
  <sheetFormatPr defaultColWidth="9.140625" defaultRowHeight="15" x14ac:dyDescent="0.25"/>
  <cols>
    <col min="1" max="1" width="5.42578125" customWidth="1"/>
    <col min="2" max="2" width="40.28515625" customWidth="1"/>
    <col min="3" max="3" width="26.5703125" customWidth="1"/>
    <col min="4" max="12" width="12.28515625" customWidth="1"/>
    <col min="13" max="14" width="13.7109375" customWidth="1"/>
    <col min="15" max="16" width="35.5703125" customWidth="1"/>
  </cols>
  <sheetData>
    <row r="1" spans="1:16" x14ac:dyDescent="0.25">
      <c r="A1" s="866" t="s">
        <v>831</v>
      </c>
    </row>
    <row r="4" spans="1:16" x14ac:dyDescent="0.25">
      <c r="B4" s="282"/>
    </row>
    <row r="5" spans="1:16" ht="17.25" customHeight="1" x14ac:dyDescent="0.25">
      <c r="A5" s="1314" t="s">
        <v>765</v>
      </c>
      <c r="B5" s="1315"/>
      <c r="C5" s="1300" t="s">
        <v>832</v>
      </c>
      <c r="D5" s="1295" t="s">
        <v>833</v>
      </c>
      <c r="E5" s="1313"/>
      <c r="F5" s="1313"/>
      <c r="G5" s="1313"/>
      <c r="H5" s="1313"/>
      <c r="I5" s="1313"/>
      <c r="J5" s="1313"/>
      <c r="K5" s="1313"/>
      <c r="L5" s="1313"/>
      <c r="M5" s="1313"/>
      <c r="N5" s="1296"/>
      <c r="O5" s="1295" t="s">
        <v>834</v>
      </c>
      <c r="P5" s="1296"/>
    </row>
    <row r="6" spans="1:16" ht="24.75" customHeight="1" x14ac:dyDescent="0.25">
      <c r="A6" s="1316"/>
      <c r="B6" s="1317"/>
      <c r="C6" s="1301"/>
      <c r="D6" s="1297" t="s">
        <v>835</v>
      </c>
      <c r="E6" s="1298"/>
      <c r="F6" s="1298"/>
      <c r="G6" s="1298"/>
      <c r="H6" s="1298"/>
      <c r="I6" s="1298"/>
      <c r="J6" s="1298"/>
      <c r="K6" s="1298"/>
      <c r="L6" s="1299"/>
      <c r="M6" s="1297" t="s">
        <v>836</v>
      </c>
      <c r="N6" s="1299"/>
      <c r="O6" s="1300" t="s">
        <v>837</v>
      </c>
      <c r="P6" s="1303" t="s">
        <v>838</v>
      </c>
    </row>
    <row r="7" spans="1:16" x14ac:dyDescent="0.25">
      <c r="A7" s="1316"/>
      <c r="B7" s="1317"/>
      <c r="C7" s="1301"/>
      <c r="D7" s="1300" t="s">
        <v>839</v>
      </c>
      <c r="E7" s="1306" t="s">
        <v>840</v>
      </c>
      <c r="F7" s="283"/>
      <c r="G7" s="283"/>
      <c r="H7" s="283"/>
      <c r="I7" s="1306" t="s">
        <v>841</v>
      </c>
      <c r="J7" s="283"/>
      <c r="K7" s="283"/>
      <c r="L7" s="283"/>
      <c r="M7" s="1300" t="s">
        <v>842</v>
      </c>
      <c r="N7" s="1300" t="s">
        <v>843</v>
      </c>
      <c r="O7" s="1301"/>
      <c r="P7" s="1304"/>
    </row>
    <row r="8" spans="1:16" ht="78.75" customHeight="1" x14ac:dyDescent="0.25">
      <c r="A8" s="1316"/>
      <c r="B8" s="1317"/>
      <c r="C8" s="284"/>
      <c r="D8" s="1302"/>
      <c r="E8" s="1302"/>
      <c r="F8" s="285" t="s">
        <v>844</v>
      </c>
      <c r="G8" s="285" t="s">
        <v>845</v>
      </c>
      <c r="H8" s="285" t="s">
        <v>846</v>
      </c>
      <c r="I8" s="1302"/>
      <c r="J8" s="285" t="s">
        <v>847</v>
      </c>
      <c r="K8" s="285" t="s">
        <v>848</v>
      </c>
      <c r="L8" s="285" t="s">
        <v>849</v>
      </c>
      <c r="M8" s="1302"/>
      <c r="N8" s="1302"/>
      <c r="O8" s="1302"/>
      <c r="P8" s="1305"/>
    </row>
    <row r="9" spans="1:16" x14ac:dyDescent="0.25">
      <c r="A9" s="1318"/>
      <c r="B9" s="1319"/>
      <c r="C9" s="286" t="s">
        <v>103</v>
      </c>
      <c r="D9" s="286" t="s">
        <v>102</v>
      </c>
      <c r="E9" s="286" t="s">
        <v>97</v>
      </c>
      <c r="F9" s="286" t="s">
        <v>96</v>
      </c>
      <c r="G9" s="286" t="s">
        <v>95</v>
      </c>
      <c r="H9" s="286" t="s">
        <v>111</v>
      </c>
      <c r="I9" s="286" t="s">
        <v>112</v>
      </c>
      <c r="J9" s="286" t="s">
        <v>164</v>
      </c>
      <c r="K9" s="286" t="s">
        <v>323</v>
      </c>
      <c r="L9" s="286" t="s">
        <v>324</v>
      </c>
      <c r="M9" s="286" t="s">
        <v>325</v>
      </c>
      <c r="N9" s="286" t="s">
        <v>326</v>
      </c>
      <c r="O9" s="286" t="s">
        <v>327</v>
      </c>
      <c r="P9" s="286" t="s">
        <v>354</v>
      </c>
    </row>
    <row r="10" spans="1:16" x14ac:dyDescent="0.25">
      <c r="A10" s="20">
        <v>1</v>
      </c>
      <c r="B10" s="287" t="s">
        <v>820</v>
      </c>
      <c r="C10" s="20"/>
      <c r="D10" s="288"/>
      <c r="E10" s="288"/>
      <c r="F10" s="288"/>
      <c r="G10" s="288"/>
      <c r="H10" s="288"/>
      <c r="I10" s="288"/>
      <c r="J10" s="288"/>
      <c r="K10" s="288"/>
      <c r="L10" s="288"/>
      <c r="M10" s="288"/>
      <c r="N10" s="289"/>
      <c r="O10" s="20"/>
      <c r="P10" s="20"/>
    </row>
    <row r="11" spans="1:16" x14ac:dyDescent="0.25">
      <c r="A11" s="20">
        <v>2</v>
      </c>
      <c r="B11" s="287" t="s">
        <v>476</v>
      </c>
      <c r="C11" s="20"/>
      <c r="D11" s="20"/>
      <c r="E11" s="20"/>
      <c r="F11" s="20"/>
      <c r="G11" s="20"/>
      <c r="H11" s="20"/>
      <c r="I11" s="20"/>
      <c r="J11" s="20"/>
      <c r="K11" s="20"/>
      <c r="L11" s="20"/>
      <c r="M11" s="20"/>
      <c r="N11" s="290"/>
      <c r="O11" s="20"/>
      <c r="P11" s="20"/>
    </row>
    <row r="12" spans="1:16" x14ac:dyDescent="0.25">
      <c r="A12" s="20">
        <v>3</v>
      </c>
      <c r="B12" s="287" t="s">
        <v>482</v>
      </c>
      <c r="C12" s="20"/>
      <c r="D12" s="20"/>
      <c r="E12" s="20"/>
      <c r="F12" s="20"/>
      <c r="G12" s="20"/>
      <c r="H12" s="20"/>
      <c r="I12" s="20"/>
      <c r="J12" s="20"/>
      <c r="K12" s="20"/>
      <c r="L12" s="20"/>
      <c r="M12" s="20"/>
      <c r="N12" s="290"/>
      <c r="O12" s="20"/>
      <c r="P12" s="20"/>
    </row>
    <row r="13" spans="1:16" x14ac:dyDescent="0.25">
      <c r="A13" s="291">
        <v>3.1</v>
      </c>
      <c r="B13" s="292" t="s">
        <v>822</v>
      </c>
      <c r="C13" s="20"/>
      <c r="D13" s="20"/>
      <c r="E13" s="20"/>
      <c r="F13" s="20"/>
      <c r="G13" s="20"/>
      <c r="H13" s="20"/>
      <c r="I13" s="20"/>
      <c r="J13" s="20"/>
      <c r="K13" s="20"/>
      <c r="L13" s="20"/>
      <c r="M13" s="20"/>
      <c r="N13" s="290"/>
      <c r="O13" s="20"/>
      <c r="P13" s="20"/>
    </row>
    <row r="14" spans="1:16" x14ac:dyDescent="0.25">
      <c r="A14" s="291">
        <v>3.2</v>
      </c>
      <c r="B14" s="292" t="s">
        <v>823</v>
      </c>
      <c r="C14" s="20"/>
      <c r="D14" s="20"/>
      <c r="E14" s="20"/>
      <c r="F14" s="20"/>
      <c r="G14" s="20"/>
      <c r="H14" s="20"/>
      <c r="I14" s="20"/>
      <c r="J14" s="20"/>
      <c r="K14" s="20"/>
      <c r="L14" s="20"/>
      <c r="M14" s="20"/>
      <c r="N14" s="290"/>
      <c r="O14" s="20"/>
      <c r="P14" s="20"/>
    </row>
    <row r="15" spans="1:16" x14ac:dyDescent="0.25">
      <c r="A15" s="291">
        <v>3.3</v>
      </c>
      <c r="B15" s="292" t="s">
        <v>850</v>
      </c>
      <c r="C15" s="20"/>
      <c r="D15" s="20"/>
      <c r="E15" s="20"/>
      <c r="F15" s="20"/>
      <c r="G15" s="20"/>
      <c r="H15" s="20"/>
      <c r="I15" s="20"/>
      <c r="J15" s="20"/>
      <c r="K15" s="20"/>
      <c r="L15" s="20"/>
      <c r="M15" s="20"/>
      <c r="N15" s="290"/>
      <c r="O15" s="20"/>
      <c r="P15" s="20"/>
    </row>
    <row r="16" spans="1:16" x14ac:dyDescent="0.25">
      <c r="A16" s="20">
        <v>4</v>
      </c>
      <c r="B16" s="287" t="s">
        <v>748</v>
      </c>
      <c r="C16" s="20"/>
      <c r="D16" s="20"/>
      <c r="E16" s="20"/>
      <c r="F16" s="20"/>
      <c r="G16" s="20"/>
      <c r="H16" s="20"/>
      <c r="I16" s="20"/>
      <c r="J16" s="20"/>
      <c r="K16" s="20"/>
      <c r="L16" s="20"/>
      <c r="M16" s="20"/>
      <c r="N16" s="290"/>
      <c r="O16" s="20"/>
      <c r="P16" s="20"/>
    </row>
    <row r="17" spans="1:16" x14ac:dyDescent="0.25">
      <c r="A17" s="291">
        <v>4.0999999999999996</v>
      </c>
      <c r="B17" s="292" t="s">
        <v>851</v>
      </c>
      <c r="C17" s="20"/>
      <c r="D17" s="20"/>
      <c r="E17" s="20"/>
      <c r="F17" s="20"/>
      <c r="G17" s="20"/>
      <c r="H17" s="20"/>
      <c r="I17" s="20"/>
      <c r="J17" s="20"/>
      <c r="K17" s="20"/>
      <c r="L17" s="20"/>
      <c r="M17" s="20"/>
      <c r="N17" s="290"/>
      <c r="O17" s="20"/>
      <c r="P17" s="20"/>
    </row>
    <row r="18" spans="1:16" x14ac:dyDescent="0.25">
      <c r="A18" s="291">
        <v>4.2</v>
      </c>
      <c r="B18" s="292" t="s">
        <v>852</v>
      </c>
      <c r="C18" s="20"/>
      <c r="D18" s="20"/>
      <c r="E18" s="20"/>
      <c r="F18" s="20"/>
      <c r="G18" s="20"/>
      <c r="H18" s="20"/>
      <c r="I18" s="20"/>
      <c r="J18" s="20"/>
      <c r="K18" s="20"/>
      <c r="L18" s="20"/>
      <c r="M18" s="20"/>
      <c r="N18" s="290"/>
      <c r="O18" s="20"/>
      <c r="P18" s="20"/>
    </row>
    <row r="19" spans="1:16" x14ac:dyDescent="0.25">
      <c r="A19" s="291">
        <v>4.3</v>
      </c>
      <c r="B19" s="292" t="s">
        <v>811</v>
      </c>
      <c r="C19" s="20"/>
      <c r="D19" s="20"/>
      <c r="E19" s="20"/>
      <c r="F19" s="20"/>
      <c r="G19" s="20"/>
      <c r="H19" s="20"/>
      <c r="I19" s="20"/>
      <c r="J19" s="20"/>
      <c r="K19" s="20"/>
      <c r="L19" s="20"/>
      <c r="M19" s="20"/>
      <c r="N19" s="290"/>
      <c r="O19" s="20"/>
      <c r="P19" s="20"/>
    </row>
    <row r="20" spans="1:16" x14ac:dyDescent="0.25">
      <c r="A20" s="291">
        <v>4.4000000000000004</v>
      </c>
      <c r="B20" s="292" t="s">
        <v>812</v>
      </c>
      <c r="C20" s="20"/>
      <c r="D20" s="20"/>
      <c r="E20" s="20"/>
      <c r="F20" s="20"/>
      <c r="G20" s="20"/>
      <c r="H20" s="20"/>
      <c r="I20" s="20"/>
      <c r="J20" s="20"/>
      <c r="K20" s="20"/>
      <c r="L20" s="20"/>
      <c r="M20" s="20"/>
      <c r="N20" s="290"/>
      <c r="O20" s="20"/>
      <c r="P20" s="20"/>
    </row>
    <row r="21" spans="1:16" x14ac:dyDescent="0.25">
      <c r="A21" s="291">
        <v>4.5</v>
      </c>
      <c r="B21" s="292" t="s">
        <v>813</v>
      </c>
      <c r="C21" s="20"/>
      <c r="D21" s="20"/>
      <c r="E21" s="20"/>
      <c r="F21" s="20"/>
      <c r="G21" s="20"/>
      <c r="H21" s="20"/>
      <c r="I21" s="20"/>
      <c r="J21" s="20"/>
      <c r="K21" s="20"/>
      <c r="L21" s="20"/>
      <c r="M21" s="20"/>
      <c r="N21" s="290"/>
      <c r="O21" s="20"/>
      <c r="P21" s="20"/>
    </row>
    <row r="22" spans="1:16" x14ac:dyDescent="0.25">
      <c r="A22" s="20">
        <v>5</v>
      </c>
      <c r="B22" s="287" t="s">
        <v>0</v>
      </c>
      <c r="C22" s="20"/>
      <c r="D22" s="20"/>
      <c r="E22" s="20"/>
      <c r="F22" s="20"/>
      <c r="G22" s="20"/>
      <c r="H22" s="20"/>
      <c r="I22" s="20"/>
      <c r="J22" s="20"/>
      <c r="K22" s="20"/>
      <c r="L22" s="20"/>
      <c r="M22" s="20"/>
      <c r="N22" s="290"/>
      <c r="O22" s="20"/>
      <c r="P22" s="20"/>
    </row>
    <row r="25" spans="1:16" ht="17.25" customHeight="1" x14ac:dyDescent="0.25">
      <c r="A25" s="1307" t="s">
        <v>797</v>
      </c>
      <c r="B25" s="1308"/>
      <c r="C25" s="1300" t="s">
        <v>832</v>
      </c>
      <c r="D25" s="1295" t="s">
        <v>833</v>
      </c>
      <c r="E25" s="1313"/>
      <c r="F25" s="1313"/>
      <c r="G25" s="1313"/>
      <c r="H25" s="1313"/>
      <c r="I25" s="1313"/>
      <c r="J25" s="1313"/>
      <c r="K25" s="1313"/>
      <c r="L25" s="1313"/>
      <c r="M25" s="1313"/>
      <c r="N25" s="1296"/>
      <c r="O25" s="1295" t="s">
        <v>834</v>
      </c>
      <c r="P25" s="1296"/>
    </row>
    <row r="26" spans="1:16" ht="21" customHeight="1" x14ac:dyDescent="0.25">
      <c r="A26" s="1309"/>
      <c r="B26" s="1310"/>
      <c r="C26" s="1301"/>
      <c r="D26" s="1297" t="s">
        <v>835</v>
      </c>
      <c r="E26" s="1298"/>
      <c r="F26" s="1298"/>
      <c r="G26" s="1298"/>
      <c r="H26" s="1298"/>
      <c r="I26" s="1298"/>
      <c r="J26" s="1298"/>
      <c r="K26" s="1298"/>
      <c r="L26" s="1299"/>
      <c r="M26" s="1297" t="s">
        <v>836</v>
      </c>
      <c r="N26" s="1299"/>
      <c r="O26" s="1300" t="s">
        <v>837</v>
      </c>
      <c r="P26" s="1303" t="s">
        <v>838</v>
      </c>
    </row>
    <row r="27" spans="1:16" x14ac:dyDescent="0.25">
      <c r="A27" s="1309"/>
      <c r="B27" s="1310"/>
      <c r="C27" s="1301"/>
      <c r="D27" s="1300" t="s">
        <v>839</v>
      </c>
      <c r="E27" s="1306" t="s">
        <v>840</v>
      </c>
      <c r="F27" s="283"/>
      <c r="G27" s="283"/>
      <c r="H27" s="283"/>
      <c r="I27" s="1306" t="s">
        <v>841</v>
      </c>
      <c r="J27" s="283"/>
      <c r="K27" s="283"/>
      <c r="L27" s="283"/>
      <c r="M27" s="1300" t="s">
        <v>842</v>
      </c>
      <c r="N27" s="1300" t="s">
        <v>843</v>
      </c>
      <c r="O27" s="1301"/>
      <c r="P27" s="1304"/>
    </row>
    <row r="28" spans="1:16" ht="82.5" customHeight="1" x14ac:dyDescent="0.25">
      <c r="A28" s="1309"/>
      <c r="B28" s="1310"/>
      <c r="C28" s="284"/>
      <c r="D28" s="1302"/>
      <c r="E28" s="1302"/>
      <c r="F28" s="285" t="s">
        <v>844</v>
      </c>
      <c r="G28" s="285" t="s">
        <v>845</v>
      </c>
      <c r="H28" s="285" t="s">
        <v>846</v>
      </c>
      <c r="I28" s="1302"/>
      <c r="J28" s="285" t="s">
        <v>847</v>
      </c>
      <c r="K28" s="285" t="s">
        <v>848</v>
      </c>
      <c r="L28" s="285" t="s">
        <v>849</v>
      </c>
      <c r="M28" s="1302"/>
      <c r="N28" s="1302"/>
      <c r="O28" s="1302"/>
      <c r="P28" s="1305"/>
    </row>
    <row r="29" spans="1:16" x14ac:dyDescent="0.25">
      <c r="A29" s="1311"/>
      <c r="B29" s="1312"/>
      <c r="C29" s="293" t="s">
        <v>103</v>
      </c>
      <c r="D29" s="293" t="s">
        <v>102</v>
      </c>
      <c r="E29" s="293" t="s">
        <v>97</v>
      </c>
      <c r="F29" s="293" t="s">
        <v>96</v>
      </c>
      <c r="G29" s="293" t="s">
        <v>95</v>
      </c>
      <c r="H29" s="293" t="s">
        <v>111</v>
      </c>
      <c r="I29" s="293" t="s">
        <v>112</v>
      </c>
      <c r="J29" s="293" t="s">
        <v>164</v>
      </c>
      <c r="K29" s="293" t="s">
        <v>323</v>
      </c>
      <c r="L29" s="293" t="s">
        <v>324</v>
      </c>
      <c r="M29" s="293" t="s">
        <v>325</v>
      </c>
      <c r="N29" s="293" t="s">
        <v>326</v>
      </c>
      <c r="O29" s="293" t="s">
        <v>327</v>
      </c>
      <c r="P29" s="293" t="s">
        <v>354</v>
      </c>
    </row>
    <row r="30" spans="1:16" x14ac:dyDescent="0.25">
      <c r="A30" s="20">
        <v>1</v>
      </c>
      <c r="B30" s="287" t="s">
        <v>820</v>
      </c>
      <c r="C30" s="20"/>
      <c r="D30" s="288"/>
      <c r="E30" s="288"/>
      <c r="F30" s="288"/>
      <c r="G30" s="288"/>
      <c r="H30" s="288"/>
      <c r="I30" s="288"/>
      <c r="J30" s="288"/>
      <c r="K30" s="288"/>
      <c r="L30" s="288"/>
      <c r="M30" s="288"/>
      <c r="N30" s="289"/>
      <c r="O30" s="20"/>
      <c r="P30" s="20"/>
    </row>
    <row r="31" spans="1:16" x14ac:dyDescent="0.25">
      <c r="A31" s="20">
        <v>2</v>
      </c>
      <c r="B31" s="287" t="s">
        <v>476</v>
      </c>
      <c r="C31" s="20"/>
      <c r="D31" s="20"/>
      <c r="E31" s="20"/>
      <c r="F31" s="20"/>
      <c r="G31" s="20"/>
      <c r="H31" s="20"/>
      <c r="I31" s="20"/>
      <c r="J31" s="20"/>
      <c r="K31" s="20"/>
      <c r="L31" s="20"/>
      <c r="M31" s="20"/>
      <c r="N31" s="290"/>
      <c r="O31" s="20"/>
      <c r="P31" s="20"/>
    </row>
    <row r="32" spans="1:16" x14ac:dyDescent="0.25">
      <c r="A32" s="20">
        <v>3</v>
      </c>
      <c r="B32" s="287" t="s">
        <v>482</v>
      </c>
      <c r="C32" s="20"/>
      <c r="D32" s="20"/>
      <c r="E32" s="20"/>
      <c r="F32" s="20"/>
      <c r="G32" s="20"/>
      <c r="H32" s="20"/>
      <c r="I32" s="20"/>
      <c r="J32" s="20"/>
      <c r="K32" s="20"/>
      <c r="L32" s="20"/>
      <c r="M32" s="20"/>
      <c r="N32" s="290"/>
      <c r="O32" s="20"/>
      <c r="P32" s="20"/>
    </row>
    <row r="33" spans="1:16" x14ac:dyDescent="0.25">
      <c r="A33" s="291">
        <v>3.1</v>
      </c>
      <c r="B33" s="292" t="s">
        <v>822</v>
      </c>
      <c r="C33" s="20"/>
      <c r="D33" s="20"/>
      <c r="E33" s="20"/>
      <c r="F33" s="20"/>
      <c r="G33" s="20"/>
      <c r="H33" s="20"/>
      <c r="I33" s="20"/>
      <c r="J33" s="20"/>
      <c r="K33" s="20"/>
      <c r="L33" s="20"/>
      <c r="M33" s="20"/>
      <c r="N33" s="290"/>
      <c r="O33" s="20"/>
      <c r="P33" s="20"/>
    </row>
    <row r="34" spans="1:16" x14ac:dyDescent="0.25">
      <c r="A34" s="291">
        <v>3.2</v>
      </c>
      <c r="B34" s="292" t="s">
        <v>823</v>
      </c>
      <c r="C34" s="20"/>
      <c r="D34" s="20"/>
      <c r="E34" s="20"/>
      <c r="F34" s="20"/>
      <c r="G34" s="20"/>
      <c r="H34" s="20"/>
      <c r="I34" s="20"/>
      <c r="J34" s="20"/>
      <c r="K34" s="20"/>
      <c r="L34" s="20"/>
      <c r="M34" s="20"/>
      <c r="N34" s="290"/>
      <c r="O34" s="20"/>
      <c r="P34" s="20"/>
    </row>
    <row r="35" spans="1:16" x14ac:dyDescent="0.25">
      <c r="A35" s="291">
        <v>3.3</v>
      </c>
      <c r="B35" s="292" t="s">
        <v>850</v>
      </c>
      <c r="C35" s="20"/>
      <c r="D35" s="20"/>
      <c r="E35" s="20"/>
      <c r="F35" s="20"/>
      <c r="G35" s="20"/>
      <c r="H35" s="20"/>
      <c r="I35" s="20"/>
      <c r="J35" s="20"/>
      <c r="K35" s="20"/>
      <c r="L35" s="20"/>
      <c r="M35" s="20"/>
      <c r="N35" s="290"/>
      <c r="O35" s="20"/>
      <c r="P35" s="20"/>
    </row>
    <row r="36" spans="1:16" x14ac:dyDescent="0.25">
      <c r="A36" s="20">
        <v>4</v>
      </c>
      <c r="B36" s="287" t="s">
        <v>0</v>
      </c>
      <c r="C36" s="20"/>
      <c r="D36" s="20"/>
      <c r="E36" s="20"/>
      <c r="F36" s="20"/>
      <c r="G36" s="20"/>
      <c r="H36" s="20"/>
      <c r="I36" s="20"/>
      <c r="J36" s="20"/>
      <c r="K36" s="20"/>
      <c r="L36" s="20"/>
      <c r="M36" s="20"/>
      <c r="N36" s="290"/>
      <c r="O36" s="20"/>
      <c r="P36" s="20"/>
    </row>
  </sheetData>
  <mergeCells count="26">
    <mergeCell ref="O5:P5"/>
    <mergeCell ref="D6:L6"/>
    <mergeCell ref="M6:N6"/>
    <mergeCell ref="O6:O8"/>
    <mergeCell ref="P6:P8"/>
    <mergeCell ref="D7:D8"/>
    <mergeCell ref="E7:E8"/>
    <mergeCell ref="I7:I8"/>
    <mergeCell ref="M7:M8"/>
    <mergeCell ref="N7:N8"/>
    <mergeCell ref="A25:B29"/>
    <mergeCell ref="C25:C27"/>
    <mergeCell ref="D25:N25"/>
    <mergeCell ref="A5:B9"/>
    <mergeCell ref="C5:C7"/>
    <mergeCell ref="D5:N5"/>
    <mergeCell ref="O25:P25"/>
    <mergeCell ref="D26:L26"/>
    <mergeCell ref="M26:N26"/>
    <mergeCell ref="O26:O28"/>
    <mergeCell ref="P26:P28"/>
    <mergeCell ref="D27:D28"/>
    <mergeCell ref="E27:E28"/>
    <mergeCell ref="I27:I28"/>
    <mergeCell ref="M27:M28"/>
    <mergeCell ref="N27:N28"/>
  </mergeCells>
  <hyperlinks>
    <hyperlink ref="A1" location="Indhold!B83" display="Skema EU CR7-A – IRB-metoden – Offentliggørelse af omfanget af anvendelsen af kreditrisikoreduktionsteknikker" xr:uid="{721DAD86-72A0-4ADA-A4A5-7E4BED7E4B2F}"/>
  </hyperlinks>
  <pageMargins left="0.70866141732283472" right="0.70866141732283472" top="0.74803149606299213" bottom="0.74803149606299213" header="0.31496062992125984" footer="0.31496062992125984"/>
  <pageSetup paperSize="9" scale="46" fitToHeight="0" orientation="landscape" r:id="rId1"/>
  <headerFooter>
    <oddHeader>&amp;CDA
Bilag XXI</oddHead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E43F9-9B95-4282-9A8D-4C551CF057F3}">
  <sheetPr>
    <tabColor rgb="FFFF0000"/>
    <pageSetUpPr fitToPage="1"/>
  </sheetPr>
  <dimension ref="A1:C15"/>
  <sheetViews>
    <sheetView showGridLines="0" zoomScaleNormal="100" workbookViewId="0"/>
  </sheetViews>
  <sheetFormatPr defaultColWidth="9.140625" defaultRowHeight="15" x14ac:dyDescent="0.25"/>
  <cols>
    <col min="1" max="1" width="3.5703125" customWidth="1"/>
    <col min="2" max="2" width="74.42578125" customWidth="1"/>
    <col min="3" max="3" width="43.28515625" customWidth="1"/>
  </cols>
  <sheetData>
    <row r="1" spans="1:3" ht="20.25" x14ac:dyDescent="0.3">
      <c r="A1" s="866" t="s">
        <v>853</v>
      </c>
      <c r="B1" s="259"/>
      <c r="C1" s="259"/>
    </row>
    <row r="5" spans="1:3" x14ac:dyDescent="0.25">
      <c r="A5" s="294"/>
      <c r="B5" s="294"/>
      <c r="C5" s="50" t="s">
        <v>854</v>
      </c>
    </row>
    <row r="6" spans="1:3" x14ac:dyDescent="0.25">
      <c r="B6" s="294"/>
      <c r="C6" s="44" t="s">
        <v>103</v>
      </c>
    </row>
    <row r="7" spans="1:3" x14ac:dyDescent="0.25">
      <c r="A7" s="50">
        <v>1</v>
      </c>
      <c r="B7" s="295" t="s">
        <v>855</v>
      </c>
      <c r="C7" s="20"/>
    </row>
    <row r="8" spans="1:3" x14ac:dyDescent="0.25">
      <c r="A8" s="44">
        <v>2</v>
      </c>
      <c r="B8" s="94" t="s">
        <v>856</v>
      </c>
      <c r="C8" s="20"/>
    </row>
    <row r="9" spans="1:3" x14ac:dyDescent="0.25">
      <c r="A9" s="44">
        <v>3</v>
      </c>
      <c r="B9" s="94" t="s">
        <v>857</v>
      </c>
      <c r="C9" s="20"/>
    </row>
    <row r="10" spans="1:3" x14ac:dyDescent="0.25">
      <c r="A10" s="44">
        <v>4</v>
      </c>
      <c r="B10" s="94" t="s">
        <v>858</v>
      </c>
      <c r="C10" s="20"/>
    </row>
    <row r="11" spans="1:3" x14ac:dyDescent="0.25">
      <c r="A11" s="44">
        <v>5</v>
      </c>
      <c r="B11" s="94" t="s">
        <v>859</v>
      </c>
      <c r="C11" s="20"/>
    </row>
    <row r="12" spans="1:3" x14ac:dyDescent="0.25">
      <c r="A12" s="44">
        <v>6</v>
      </c>
      <c r="B12" s="94" t="s">
        <v>860</v>
      </c>
      <c r="C12" s="20"/>
    </row>
    <row r="13" spans="1:3" x14ac:dyDescent="0.25">
      <c r="A13" s="44">
        <v>7</v>
      </c>
      <c r="B13" s="94" t="s">
        <v>861</v>
      </c>
      <c r="C13" s="20"/>
    </row>
    <row r="14" spans="1:3" x14ac:dyDescent="0.25">
      <c r="A14" s="44">
        <v>8</v>
      </c>
      <c r="B14" s="94" t="s">
        <v>862</v>
      </c>
      <c r="C14" s="20"/>
    </row>
    <row r="15" spans="1:3" x14ac:dyDescent="0.25">
      <c r="A15" s="50">
        <v>9</v>
      </c>
      <c r="B15" s="295" t="s">
        <v>863</v>
      </c>
      <c r="C15" s="20"/>
    </row>
  </sheetData>
  <hyperlinks>
    <hyperlink ref="A1" location="Indhold!B84" display="Skema EU CR8 - RWEA-flowtabeller for kreditrisikoeksponeringer i henhold til IRB-metoden. " xr:uid="{37EA7500-77FC-41A4-9A98-C9ED8221E7F9}"/>
  </hyperlinks>
  <pageMargins left="0.70866141732283472" right="0.70866141732283472" top="0.74803149606299213" bottom="0.74803149606299213" header="0.31496062992125984" footer="0.31496062992125984"/>
  <pageSetup paperSize="9" fitToHeight="0" orientation="landscape" r:id="rId1"/>
  <headerFooter>
    <oddHeader>&amp;CDA
Bilag XXI</oddHead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B0AB8-1975-4E6E-A51F-FA204D19B6E8}">
  <sheetPr>
    <tabColor rgb="FFFF0000"/>
    <pageSetUpPr fitToPage="1"/>
  </sheetPr>
  <dimension ref="A4:I50"/>
  <sheetViews>
    <sheetView showGridLines="0" zoomScaleNormal="100" zoomScaleSheetLayoutView="100" zoomScalePageLayoutView="90" workbookViewId="0">
      <selection activeCell="B4" sqref="B4"/>
    </sheetView>
  </sheetViews>
  <sheetFormatPr defaultColWidth="11.5703125" defaultRowHeight="15" x14ac:dyDescent="0.25"/>
  <cols>
    <col min="2" max="2" width="25.7109375" customWidth="1"/>
    <col min="3" max="3" width="31.42578125" customWidth="1"/>
    <col min="4" max="4" width="20.5703125" customWidth="1"/>
    <col min="5" max="5" width="23.7109375" customWidth="1"/>
    <col min="6" max="6" width="26.42578125" customWidth="1"/>
    <col min="7" max="7" width="32" customWidth="1"/>
    <col min="8" max="8" width="26.85546875" customWidth="1"/>
    <col min="9" max="9" width="16.7109375" customWidth="1"/>
  </cols>
  <sheetData>
    <row r="4" spans="1:9" ht="18.75" customHeight="1" x14ac:dyDescent="0.3">
      <c r="B4" s="866" t="s">
        <v>864</v>
      </c>
      <c r="C4" s="51"/>
      <c r="D4" s="51"/>
      <c r="E4" s="51"/>
      <c r="F4" s="51"/>
      <c r="G4" s="51"/>
      <c r="H4" s="51"/>
    </row>
    <row r="5" spans="1:9" ht="18.75" x14ac:dyDescent="0.3">
      <c r="B5" s="296"/>
      <c r="C5" s="51"/>
      <c r="D5" s="51"/>
      <c r="E5" s="51"/>
      <c r="F5" s="51"/>
      <c r="G5" s="51"/>
      <c r="H5" s="51"/>
    </row>
    <row r="6" spans="1:9" ht="21" x14ac:dyDescent="0.35">
      <c r="B6" s="297" t="s">
        <v>765</v>
      </c>
      <c r="C6" s="298"/>
      <c r="D6" s="238"/>
      <c r="E6" s="238"/>
      <c r="F6" s="238"/>
      <c r="G6" s="238"/>
      <c r="H6" s="238"/>
    </row>
    <row r="7" spans="1:9" s="298" customFormat="1" ht="15" customHeight="1" x14ac:dyDescent="0.25">
      <c r="A7"/>
      <c r="B7" s="1325" t="s">
        <v>865</v>
      </c>
      <c r="C7" s="1325" t="s">
        <v>766</v>
      </c>
      <c r="D7" s="1327" t="s">
        <v>866</v>
      </c>
      <c r="E7" s="1328"/>
      <c r="F7" s="1325" t="s">
        <v>867</v>
      </c>
      <c r="G7" s="1323" t="s">
        <v>769</v>
      </c>
      <c r="H7" s="1325" t="s">
        <v>868</v>
      </c>
      <c r="I7" s="1323" t="s">
        <v>869</v>
      </c>
    </row>
    <row r="8" spans="1:9" s="298" customFormat="1" ht="25.5" x14ac:dyDescent="0.25">
      <c r="A8"/>
      <c r="B8" s="1326"/>
      <c r="C8" s="1326"/>
      <c r="D8" s="299"/>
      <c r="E8" s="300" t="s">
        <v>870</v>
      </c>
      <c r="F8" s="1326"/>
      <c r="G8" s="1324" t="s">
        <v>871</v>
      </c>
      <c r="H8" s="1326"/>
      <c r="I8" s="1324"/>
    </row>
    <row r="9" spans="1:9" x14ac:dyDescent="0.25">
      <c r="B9" s="31" t="s">
        <v>103</v>
      </c>
      <c r="C9" s="31" t="s">
        <v>102</v>
      </c>
      <c r="D9" s="178" t="s">
        <v>97</v>
      </c>
      <c r="E9" s="178" t="s">
        <v>96</v>
      </c>
      <c r="F9" s="178" t="s">
        <v>95</v>
      </c>
      <c r="G9" s="178" t="s">
        <v>111</v>
      </c>
      <c r="H9" s="178" t="s">
        <v>112</v>
      </c>
      <c r="I9" s="178" t="s">
        <v>164</v>
      </c>
    </row>
    <row r="10" spans="1:9" x14ac:dyDescent="0.25">
      <c r="B10" s="1320"/>
      <c r="C10" s="301" t="s">
        <v>778</v>
      </c>
      <c r="D10" s="250"/>
      <c r="E10" s="20"/>
      <c r="F10" s="20"/>
      <c r="G10" s="20"/>
      <c r="H10" s="20"/>
      <c r="I10" s="20"/>
    </row>
    <row r="11" spans="1:9" x14ac:dyDescent="0.25">
      <c r="B11" s="1321"/>
      <c r="C11" s="302" t="s">
        <v>779</v>
      </c>
      <c r="D11" s="250"/>
      <c r="E11" s="20"/>
      <c r="F11" s="20"/>
      <c r="G11" s="20"/>
      <c r="H11" s="20"/>
      <c r="I11" s="20"/>
    </row>
    <row r="12" spans="1:9" x14ac:dyDescent="0.25">
      <c r="B12" s="1321"/>
      <c r="C12" s="302" t="s">
        <v>780</v>
      </c>
      <c r="D12" s="250"/>
      <c r="E12" s="20"/>
      <c r="F12" s="20"/>
      <c r="G12" s="20"/>
      <c r="H12" s="20"/>
      <c r="I12" s="20"/>
    </row>
    <row r="13" spans="1:9" x14ac:dyDescent="0.25">
      <c r="B13" s="1321"/>
      <c r="C13" s="301" t="s">
        <v>781</v>
      </c>
      <c r="D13" s="250"/>
      <c r="E13" s="20"/>
      <c r="F13" s="20"/>
      <c r="G13" s="20"/>
      <c r="H13" s="20"/>
      <c r="I13" s="20"/>
    </row>
    <row r="14" spans="1:9" x14ac:dyDescent="0.25">
      <c r="B14" s="1321"/>
      <c r="C14" s="301" t="s">
        <v>782</v>
      </c>
      <c r="D14" s="250"/>
      <c r="E14" s="20"/>
      <c r="F14" s="20"/>
      <c r="G14" s="20"/>
      <c r="H14" s="20"/>
      <c r="I14" s="20"/>
    </row>
    <row r="15" spans="1:9" x14ac:dyDescent="0.25">
      <c r="B15" s="1321"/>
      <c r="C15" s="301" t="s">
        <v>783</v>
      </c>
      <c r="D15" s="20"/>
      <c r="E15" s="20"/>
      <c r="F15" s="20"/>
      <c r="G15" s="20"/>
      <c r="H15" s="20"/>
      <c r="I15" s="20"/>
    </row>
    <row r="16" spans="1:9" x14ac:dyDescent="0.25">
      <c r="B16" s="1321"/>
      <c r="C16" s="301" t="s">
        <v>784</v>
      </c>
      <c r="D16" s="20"/>
      <c r="E16" s="20"/>
      <c r="F16" s="20"/>
      <c r="G16" s="20"/>
      <c r="H16" s="20"/>
      <c r="I16" s="20"/>
    </row>
    <row r="17" spans="1:9" x14ac:dyDescent="0.25">
      <c r="B17" s="1321"/>
      <c r="C17" s="302" t="s">
        <v>785</v>
      </c>
      <c r="D17" s="20"/>
      <c r="E17" s="20"/>
      <c r="F17" s="20"/>
      <c r="G17" s="20"/>
      <c r="H17" s="20"/>
      <c r="I17" s="20"/>
    </row>
    <row r="18" spans="1:9" x14ac:dyDescent="0.25">
      <c r="B18" s="1321"/>
      <c r="C18" s="302" t="s">
        <v>786</v>
      </c>
      <c r="D18" s="20"/>
      <c r="E18" s="20"/>
      <c r="F18" s="20"/>
      <c r="G18" s="20"/>
      <c r="H18" s="20"/>
      <c r="I18" s="20"/>
    </row>
    <row r="19" spans="1:9" x14ac:dyDescent="0.25">
      <c r="B19" s="1321"/>
      <c r="C19" s="301" t="s">
        <v>787</v>
      </c>
      <c r="D19" s="20"/>
      <c r="E19" s="20"/>
      <c r="F19" s="20"/>
      <c r="G19" s="20"/>
      <c r="H19" s="20"/>
      <c r="I19" s="20"/>
    </row>
    <row r="20" spans="1:9" x14ac:dyDescent="0.25">
      <c r="B20" s="1321"/>
      <c r="C20" s="302" t="s">
        <v>788</v>
      </c>
      <c r="D20" s="20"/>
      <c r="E20" s="20"/>
      <c r="F20" s="20"/>
      <c r="G20" s="20"/>
      <c r="H20" s="20"/>
      <c r="I20" s="20"/>
    </row>
    <row r="21" spans="1:9" x14ac:dyDescent="0.25">
      <c r="B21" s="1321"/>
      <c r="C21" s="302" t="s">
        <v>789</v>
      </c>
      <c r="D21" s="20"/>
      <c r="E21" s="20"/>
      <c r="F21" s="20"/>
      <c r="G21" s="20"/>
      <c r="H21" s="20"/>
      <c r="I21" s="20"/>
    </row>
    <row r="22" spans="1:9" x14ac:dyDescent="0.25">
      <c r="B22" s="1321"/>
      <c r="C22" s="301" t="s">
        <v>790</v>
      </c>
      <c r="D22" s="20"/>
      <c r="E22" s="20"/>
      <c r="F22" s="20"/>
      <c r="G22" s="20"/>
      <c r="H22" s="20"/>
      <c r="I22" s="20"/>
    </row>
    <row r="23" spans="1:9" x14ac:dyDescent="0.25">
      <c r="B23" s="1321"/>
      <c r="C23" s="302" t="s">
        <v>791</v>
      </c>
      <c r="D23" s="20"/>
      <c r="E23" s="20"/>
      <c r="F23" s="20"/>
      <c r="G23" s="20"/>
      <c r="H23" s="20"/>
      <c r="I23" s="20"/>
    </row>
    <row r="24" spans="1:9" x14ac:dyDescent="0.25">
      <c r="B24" s="1321"/>
      <c r="C24" s="303" t="s">
        <v>792</v>
      </c>
      <c r="D24" s="20"/>
      <c r="E24" s="20"/>
      <c r="F24" s="20"/>
      <c r="G24" s="20"/>
      <c r="H24" s="20"/>
      <c r="I24" s="20"/>
    </row>
    <row r="25" spans="1:9" x14ac:dyDescent="0.25">
      <c r="B25" s="1321"/>
      <c r="C25" s="302" t="s">
        <v>793</v>
      </c>
      <c r="D25" s="20"/>
      <c r="E25" s="20"/>
      <c r="F25" s="20"/>
      <c r="G25" s="20"/>
      <c r="H25" s="20"/>
      <c r="I25" s="20"/>
    </row>
    <row r="26" spans="1:9" x14ac:dyDescent="0.25">
      <c r="B26" s="1322"/>
      <c r="C26" s="301" t="s">
        <v>794</v>
      </c>
      <c r="D26" s="20"/>
      <c r="E26" s="20"/>
      <c r="F26" s="20"/>
      <c r="G26" s="20"/>
      <c r="H26" s="20"/>
      <c r="I26" s="20"/>
    </row>
    <row r="30" spans="1:9" x14ac:dyDescent="0.25">
      <c r="B30" s="297" t="s">
        <v>797</v>
      </c>
    </row>
    <row r="31" spans="1:9" s="298" customFormat="1" ht="15" customHeight="1" x14ac:dyDescent="0.25">
      <c r="A31"/>
      <c r="B31" s="1325" t="s">
        <v>865</v>
      </c>
      <c r="C31" s="1325" t="s">
        <v>766</v>
      </c>
      <c r="D31" s="1327" t="s">
        <v>866</v>
      </c>
      <c r="E31" s="1328"/>
      <c r="F31" s="1325" t="s">
        <v>867</v>
      </c>
      <c r="G31" s="1329" t="s">
        <v>769</v>
      </c>
      <c r="H31" s="1323" t="s">
        <v>868</v>
      </c>
      <c r="I31" s="1323" t="s">
        <v>869</v>
      </c>
    </row>
    <row r="32" spans="1:9" s="298" customFormat="1" ht="25.5" x14ac:dyDescent="0.25">
      <c r="A32"/>
      <c r="B32" s="1326"/>
      <c r="C32" s="1326"/>
      <c r="D32" s="299"/>
      <c r="E32" s="300" t="s">
        <v>870</v>
      </c>
      <c r="F32" s="1326"/>
      <c r="G32" s="1330"/>
      <c r="H32" s="1324"/>
      <c r="I32" s="1324"/>
    </row>
    <row r="33" spans="2:9" x14ac:dyDescent="0.25">
      <c r="B33" s="31" t="s">
        <v>103</v>
      </c>
      <c r="C33" s="31" t="s">
        <v>102</v>
      </c>
      <c r="D33" s="178" t="s">
        <v>97</v>
      </c>
      <c r="E33" s="178" t="s">
        <v>96</v>
      </c>
      <c r="F33" s="178" t="s">
        <v>95</v>
      </c>
      <c r="G33" s="304" t="s">
        <v>111</v>
      </c>
      <c r="H33" s="305" t="s">
        <v>112</v>
      </c>
      <c r="I33" s="305" t="s">
        <v>164</v>
      </c>
    </row>
    <row r="34" spans="2:9" x14ac:dyDescent="0.25">
      <c r="B34" s="1320"/>
      <c r="C34" s="301" t="s">
        <v>778</v>
      </c>
      <c r="D34" s="250"/>
      <c r="E34" s="20"/>
      <c r="F34" s="20"/>
      <c r="G34" s="20"/>
      <c r="H34" s="20"/>
      <c r="I34" s="20"/>
    </row>
    <row r="35" spans="2:9" x14ac:dyDescent="0.25">
      <c r="B35" s="1321"/>
      <c r="C35" s="302" t="s">
        <v>779</v>
      </c>
      <c r="D35" s="250"/>
      <c r="E35" s="20"/>
      <c r="F35" s="20"/>
      <c r="G35" s="20"/>
      <c r="H35" s="20"/>
      <c r="I35" s="20"/>
    </row>
    <row r="36" spans="2:9" x14ac:dyDescent="0.25">
      <c r="B36" s="1321"/>
      <c r="C36" s="302" t="s">
        <v>780</v>
      </c>
      <c r="D36" s="250"/>
      <c r="E36" s="20"/>
      <c r="F36" s="20"/>
      <c r="G36" s="20"/>
      <c r="H36" s="20"/>
      <c r="I36" s="20"/>
    </row>
    <row r="37" spans="2:9" x14ac:dyDescent="0.25">
      <c r="B37" s="1321"/>
      <c r="C37" s="301" t="s">
        <v>781</v>
      </c>
      <c r="D37" s="250"/>
      <c r="E37" s="20"/>
      <c r="F37" s="20"/>
      <c r="G37" s="20"/>
      <c r="H37" s="20"/>
      <c r="I37" s="20"/>
    </row>
    <row r="38" spans="2:9" x14ac:dyDescent="0.25">
      <c r="B38" s="1321"/>
      <c r="C38" s="301" t="s">
        <v>782</v>
      </c>
      <c r="D38" s="250"/>
      <c r="E38" s="20"/>
      <c r="F38" s="20"/>
      <c r="G38" s="20"/>
      <c r="H38" s="20"/>
      <c r="I38" s="20"/>
    </row>
    <row r="39" spans="2:9" x14ac:dyDescent="0.25">
      <c r="B39" s="1321"/>
      <c r="C39" s="301" t="s">
        <v>783</v>
      </c>
      <c r="D39" s="20"/>
      <c r="E39" s="20"/>
      <c r="F39" s="20"/>
      <c r="G39" s="20"/>
      <c r="H39" s="20"/>
      <c r="I39" s="20"/>
    </row>
    <row r="40" spans="2:9" x14ac:dyDescent="0.25">
      <c r="B40" s="1321"/>
      <c r="C40" s="301" t="s">
        <v>784</v>
      </c>
      <c r="D40" s="20"/>
      <c r="E40" s="20"/>
      <c r="F40" s="20"/>
      <c r="G40" s="20"/>
      <c r="H40" s="20"/>
      <c r="I40" s="20"/>
    </row>
    <row r="41" spans="2:9" x14ac:dyDescent="0.25">
      <c r="B41" s="1321"/>
      <c r="C41" s="302" t="s">
        <v>785</v>
      </c>
      <c r="D41" s="20"/>
      <c r="E41" s="20"/>
      <c r="F41" s="20"/>
      <c r="G41" s="20"/>
      <c r="H41" s="20"/>
      <c r="I41" s="20"/>
    </row>
    <row r="42" spans="2:9" x14ac:dyDescent="0.25">
      <c r="B42" s="1321"/>
      <c r="C42" s="302" t="s">
        <v>786</v>
      </c>
      <c r="D42" s="20"/>
      <c r="E42" s="20"/>
      <c r="F42" s="20"/>
      <c r="G42" s="20"/>
      <c r="H42" s="20"/>
      <c r="I42" s="20"/>
    </row>
    <row r="43" spans="2:9" x14ac:dyDescent="0.25">
      <c r="B43" s="1321"/>
      <c r="C43" s="301" t="s">
        <v>787</v>
      </c>
      <c r="D43" s="20"/>
      <c r="E43" s="20"/>
      <c r="F43" s="20"/>
      <c r="G43" s="20"/>
      <c r="H43" s="20"/>
      <c r="I43" s="20"/>
    </row>
    <row r="44" spans="2:9" x14ac:dyDescent="0.25">
      <c r="B44" s="1321"/>
      <c r="C44" s="302" t="s">
        <v>788</v>
      </c>
      <c r="D44" s="20"/>
      <c r="E44" s="20"/>
      <c r="F44" s="20"/>
      <c r="G44" s="20"/>
      <c r="H44" s="20"/>
      <c r="I44" s="20"/>
    </row>
    <row r="45" spans="2:9" x14ac:dyDescent="0.25">
      <c r="B45" s="1321"/>
      <c r="C45" s="302" t="s">
        <v>789</v>
      </c>
      <c r="D45" s="20"/>
      <c r="E45" s="20"/>
      <c r="F45" s="20"/>
      <c r="G45" s="20"/>
      <c r="H45" s="20"/>
      <c r="I45" s="20"/>
    </row>
    <row r="46" spans="2:9" x14ac:dyDescent="0.25">
      <c r="B46" s="1321"/>
      <c r="C46" s="301" t="s">
        <v>790</v>
      </c>
      <c r="D46" s="20"/>
      <c r="E46" s="20"/>
      <c r="F46" s="20"/>
      <c r="G46" s="20"/>
      <c r="H46" s="20"/>
      <c r="I46" s="20"/>
    </row>
    <row r="47" spans="2:9" x14ac:dyDescent="0.25">
      <c r="B47" s="1321"/>
      <c r="C47" s="302" t="s">
        <v>791</v>
      </c>
      <c r="D47" s="20"/>
      <c r="E47" s="20"/>
      <c r="F47" s="20"/>
      <c r="G47" s="20"/>
      <c r="H47" s="20"/>
      <c r="I47" s="20"/>
    </row>
    <row r="48" spans="2:9" x14ac:dyDescent="0.25">
      <c r="B48" s="1321"/>
      <c r="C48" s="303" t="s">
        <v>792</v>
      </c>
      <c r="D48" s="20"/>
      <c r="E48" s="20"/>
      <c r="F48" s="20"/>
      <c r="G48" s="20"/>
      <c r="H48" s="20"/>
      <c r="I48" s="20"/>
    </row>
    <row r="49" spans="2:9" x14ac:dyDescent="0.25">
      <c r="B49" s="1321"/>
      <c r="C49" s="302" t="s">
        <v>793</v>
      </c>
      <c r="D49" s="20"/>
      <c r="E49" s="20"/>
      <c r="F49" s="20"/>
      <c r="G49" s="20"/>
      <c r="H49" s="20"/>
      <c r="I49" s="20"/>
    </row>
    <row r="50" spans="2:9" x14ac:dyDescent="0.25">
      <c r="B50" s="1322"/>
      <c r="C50" s="301" t="s">
        <v>794</v>
      </c>
      <c r="D50" s="20"/>
      <c r="E50" s="20"/>
      <c r="F50" s="20"/>
      <c r="G50" s="20"/>
      <c r="H50" s="20"/>
      <c r="I50" s="20"/>
    </row>
  </sheetData>
  <mergeCells count="16">
    <mergeCell ref="B34:B50"/>
    <mergeCell ref="I7:I8"/>
    <mergeCell ref="B10:B26"/>
    <mergeCell ref="B31:B32"/>
    <mergeCell ref="C31:C32"/>
    <mergeCell ref="D31:E31"/>
    <mergeCell ref="F31:F32"/>
    <mergeCell ref="G31:G32"/>
    <mergeCell ref="H31:H32"/>
    <mergeCell ref="I31:I32"/>
    <mergeCell ref="B7:B8"/>
    <mergeCell ref="C7:C8"/>
    <mergeCell ref="D7:E7"/>
    <mergeCell ref="F7:F8"/>
    <mergeCell ref="G7:G8"/>
    <mergeCell ref="H7:H8"/>
  </mergeCells>
  <hyperlinks>
    <hyperlink ref="B4" location="Indhold!B85" display="Skema CR9 –IRB-metoden – Back-testing af PD efter eksponeringsklasse. (fastsat PD-skala)" xr:uid="{347C7356-476F-4038-A40C-A612BD83E10B}"/>
  </hyperlinks>
  <pageMargins left="0.70866141732283472" right="0.70866141732283472" top="0.78740157480314965" bottom="0.78740157480314965" header="0.31496062992125984" footer="0.31496062992125984"/>
  <pageSetup paperSize="9" scale="60" orientation="landscape" cellComments="asDisplayed" r:id="rId1"/>
  <headerFooter>
    <oddHeader>&amp;CDA
Bilag XXI</oddHead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F2EB3-C9F9-4918-A897-3E1EAC013237}">
  <sheetPr>
    <tabColor rgb="FFFF0000"/>
    <pageSetUpPr fitToPage="1"/>
  </sheetPr>
  <dimension ref="A2:I29"/>
  <sheetViews>
    <sheetView showGridLines="0" zoomScaleNormal="100" zoomScaleSheetLayoutView="100" zoomScalePageLayoutView="80" workbookViewId="0">
      <selection activeCell="B2" sqref="B2"/>
    </sheetView>
  </sheetViews>
  <sheetFormatPr defaultColWidth="11.5703125" defaultRowHeight="15" x14ac:dyDescent="0.25"/>
  <cols>
    <col min="2" max="2" width="25.7109375" customWidth="1"/>
    <col min="3" max="3" width="31.42578125" customWidth="1"/>
    <col min="4" max="4" width="21.42578125" customWidth="1"/>
    <col min="5" max="5" width="20.28515625" customWidth="1"/>
    <col min="6" max="6" width="26.42578125" customWidth="1"/>
    <col min="7" max="7" width="32" customWidth="1"/>
    <col min="8" max="8" width="17.85546875" customWidth="1"/>
    <col min="9" max="9" width="18.5703125" customWidth="1"/>
  </cols>
  <sheetData>
    <row r="2" spans="1:9" ht="18.75" x14ac:dyDescent="0.3">
      <c r="B2" s="866" t="s">
        <v>872</v>
      </c>
      <c r="C2" s="51"/>
      <c r="D2" s="51"/>
      <c r="E2" s="51"/>
      <c r="F2" s="51"/>
      <c r="G2" s="51"/>
    </row>
    <row r="3" spans="1:9" ht="21" x14ac:dyDescent="0.35">
      <c r="B3" s="297" t="s">
        <v>765</v>
      </c>
      <c r="C3" s="298"/>
      <c r="D3" s="238"/>
      <c r="E3" s="238"/>
      <c r="F3" s="238"/>
      <c r="G3" s="238"/>
    </row>
    <row r="4" spans="1:9" s="298" customFormat="1" ht="15" customHeight="1" x14ac:dyDescent="0.25">
      <c r="A4"/>
      <c r="B4" s="1325" t="s">
        <v>865</v>
      </c>
      <c r="C4" s="1325" t="s">
        <v>766</v>
      </c>
      <c r="D4" s="1325" t="s">
        <v>873</v>
      </c>
      <c r="E4" s="1327" t="s">
        <v>866</v>
      </c>
      <c r="F4" s="1328"/>
      <c r="G4" s="1325" t="s">
        <v>867</v>
      </c>
      <c r="H4" s="1325" t="s">
        <v>868</v>
      </c>
      <c r="I4" s="1323" t="s">
        <v>869</v>
      </c>
    </row>
    <row r="5" spans="1:9" s="298" customFormat="1" ht="53.25" customHeight="1" x14ac:dyDescent="0.25">
      <c r="A5"/>
      <c r="B5" s="1326"/>
      <c r="C5" s="1326"/>
      <c r="D5" s="1326"/>
      <c r="E5" s="299"/>
      <c r="F5" s="300" t="s">
        <v>870</v>
      </c>
      <c r="G5" s="1326"/>
      <c r="H5" s="1326"/>
      <c r="I5" s="1324"/>
    </row>
    <row r="6" spans="1:9" x14ac:dyDescent="0.25">
      <c r="B6" s="31" t="s">
        <v>103</v>
      </c>
      <c r="C6" s="31" t="s">
        <v>102</v>
      </c>
      <c r="D6" s="31" t="s">
        <v>97</v>
      </c>
      <c r="E6" s="178" t="s">
        <v>96</v>
      </c>
      <c r="F6" s="178" t="s">
        <v>95</v>
      </c>
      <c r="G6" s="178" t="s">
        <v>111</v>
      </c>
      <c r="H6" s="178" t="s">
        <v>112</v>
      </c>
      <c r="I6" s="178" t="s">
        <v>164</v>
      </c>
    </row>
    <row r="7" spans="1:9" x14ac:dyDescent="0.25">
      <c r="B7" s="1320"/>
      <c r="C7" s="301"/>
      <c r="D7" s="301"/>
      <c r="E7" s="250"/>
      <c r="F7" s="20"/>
      <c r="G7" s="20"/>
      <c r="H7" s="20"/>
      <c r="I7" s="20"/>
    </row>
    <row r="8" spans="1:9" x14ac:dyDescent="0.25">
      <c r="B8" s="1321"/>
      <c r="C8" s="302"/>
      <c r="D8" s="302"/>
      <c r="E8" s="250"/>
      <c r="F8" s="20"/>
      <c r="G8" s="20"/>
      <c r="H8" s="20"/>
      <c r="I8" s="20"/>
    </row>
    <row r="9" spans="1:9" x14ac:dyDescent="0.25">
      <c r="B9" s="1321"/>
      <c r="C9" s="302"/>
      <c r="D9" s="302"/>
      <c r="E9" s="250"/>
      <c r="F9" s="20"/>
      <c r="G9" s="20"/>
      <c r="H9" s="20"/>
      <c r="I9" s="20"/>
    </row>
    <row r="10" spans="1:9" x14ac:dyDescent="0.25">
      <c r="B10" s="1321"/>
      <c r="C10" s="301"/>
      <c r="D10" s="301"/>
      <c r="E10" s="250"/>
      <c r="F10" s="20"/>
      <c r="G10" s="20"/>
      <c r="H10" s="20"/>
      <c r="I10" s="20"/>
    </row>
    <row r="11" spans="1:9" x14ac:dyDescent="0.25">
      <c r="B11" s="1321"/>
      <c r="C11" s="301"/>
      <c r="D11" s="301"/>
      <c r="E11" s="250"/>
      <c r="F11" s="20"/>
      <c r="G11" s="20"/>
      <c r="H11" s="20"/>
      <c r="I11" s="20"/>
    </row>
    <row r="12" spans="1:9" x14ac:dyDescent="0.25">
      <c r="B12" s="1321"/>
      <c r="C12" s="301"/>
      <c r="D12" s="301"/>
      <c r="E12" s="20"/>
      <c r="F12" s="20"/>
      <c r="G12" s="20"/>
      <c r="H12" s="20"/>
      <c r="I12" s="20"/>
    </row>
    <row r="13" spans="1:9" x14ac:dyDescent="0.25">
      <c r="B13" s="1321"/>
      <c r="C13" s="301"/>
      <c r="D13" s="301"/>
      <c r="E13" s="20"/>
      <c r="F13" s="20"/>
      <c r="G13" s="20"/>
      <c r="H13" s="20"/>
      <c r="I13" s="20"/>
    </row>
    <row r="14" spans="1:9" x14ac:dyDescent="0.25">
      <c r="B14" s="1322"/>
      <c r="C14" s="302"/>
      <c r="D14" s="302"/>
      <c r="E14" s="20"/>
      <c r="F14" s="20"/>
      <c r="G14" s="20"/>
      <c r="H14" s="20"/>
      <c r="I14" s="20"/>
    </row>
    <row r="18" spans="1:9" x14ac:dyDescent="0.25">
      <c r="B18" s="297" t="s">
        <v>797</v>
      </c>
    </row>
    <row r="19" spans="1:9" s="298" customFormat="1" ht="15" customHeight="1" x14ac:dyDescent="0.25">
      <c r="A19"/>
      <c r="B19" s="1325" t="s">
        <v>865</v>
      </c>
      <c r="C19" s="1325" t="s">
        <v>766</v>
      </c>
      <c r="D19" s="1325" t="s">
        <v>873</v>
      </c>
      <c r="E19" s="1327" t="s">
        <v>866</v>
      </c>
      <c r="F19" s="1328"/>
      <c r="G19" s="1325" t="s">
        <v>867</v>
      </c>
      <c r="H19" s="1325" t="s">
        <v>868</v>
      </c>
      <c r="I19" s="1323" t="s">
        <v>869</v>
      </c>
    </row>
    <row r="20" spans="1:9" s="298" customFormat="1" ht="57" customHeight="1" x14ac:dyDescent="0.25">
      <c r="A20"/>
      <c r="B20" s="1326"/>
      <c r="C20" s="1326"/>
      <c r="D20" s="1326"/>
      <c r="E20" s="299"/>
      <c r="F20" s="300" t="s">
        <v>870</v>
      </c>
      <c r="G20" s="1326"/>
      <c r="H20" s="1326"/>
      <c r="I20" s="1324"/>
    </row>
    <row r="21" spans="1:9" x14ac:dyDescent="0.25">
      <c r="B21" s="31" t="s">
        <v>103</v>
      </c>
      <c r="C21" s="31" t="s">
        <v>102</v>
      </c>
      <c r="D21" s="31" t="s">
        <v>97</v>
      </c>
      <c r="E21" s="178" t="s">
        <v>96</v>
      </c>
      <c r="F21" s="178" t="s">
        <v>95</v>
      </c>
      <c r="G21" s="178" t="s">
        <v>111</v>
      </c>
      <c r="H21" s="178" t="s">
        <v>112</v>
      </c>
      <c r="I21" s="178" t="s">
        <v>164</v>
      </c>
    </row>
    <row r="22" spans="1:9" x14ac:dyDescent="0.25">
      <c r="B22" s="1320"/>
      <c r="C22" s="301"/>
      <c r="D22" s="301"/>
      <c r="E22" s="250"/>
      <c r="F22" s="20"/>
      <c r="G22" s="20"/>
      <c r="H22" s="20"/>
      <c r="I22" s="20"/>
    </row>
    <row r="23" spans="1:9" x14ac:dyDescent="0.25">
      <c r="B23" s="1321"/>
      <c r="C23" s="302"/>
      <c r="D23" s="302"/>
      <c r="E23" s="250"/>
      <c r="F23" s="20"/>
      <c r="G23" s="20"/>
      <c r="H23" s="20"/>
      <c r="I23" s="20"/>
    </row>
    <row r="24" spans="1:9" x14ac:dyDescent="0.25">
      <c r="B24" s="1321"/>
      <c r="C24" s="302"/>
      <c r="D24" s="302"/>
      <c r="E24" s="250"/>
      <c r="F24" s="20"/>
      <c r="G24" s="20"/>
      <c r="H24" s="20"/>
      <c r="I24" s="20"/>
    </row>
    <row r="25" spans="1:9" x14ac:dyDescent="0.25">
      <c r="B25" s="1321"/>
      <c r="C25" s="301"/>
      <c r="D25" s="301"/>
      <c r="E25" s="250"/>
      <c r="F25" s="20"/>
      <c r="G25" s="20"/>
      <c r="H25" s="20"/>
      <c r="I25" s="20"/>
    </row>
    <row r="26" spans="1:9" x14ac:dyDescent="0.25">
      <c r="B26" s="1321"/>
      <c r="C26" s="301"/>
      <c r="D26" s="301"/>
      <c r="E26" s="250"/>
      <c r="F26" s="20"/>
      <c r="G26" s="20"/>
      <c r="H26" s="20"/>
      <c r="I26" s="20"/>
    </row>
    <row r="27" spans="1:9" x14ac:dyDescent="0.25">
      <c r="B27" s="1321"/>
      <c r="C27" s="301"/>
      <c r="D27" s="301"/>
      <c r="E27" s="20"/>
      <c r="F27" s="20"/>
      <c r="G27" s="20"/>
      <c r="H27" s="20"/>
      <c r="I27" s="20"/>
    </row>
    <row r="28" spans="1:9" x14ac:dyDescent="0.25">
      <c r="B28" s="1321"/>
      <c r="C28" s="301"/>
      <c r="D28" s="301"/>
      <c r="E28" s="20"/>
      <c r="F28" s="20"/>
      <c r="G28" s="20"/>
      <c r="H28" s="20"/>
      <c r="I28" s="20"/>
    </row>
    <row r="29" spans="1:9" x14ac:dyDescent="0.25">
      <c r="B29" s="1322"/>
      <c r="C29" s="302"/>
      <c r="D29" s="302"/>
      <c r="E29" s="20"/>
      <c r="F29" s="20"/>
      <c r="G29" s="20"/>
      <c r="H29" s="20"/>
      <c r="I29" s="20"/>
    </row>
  </sheetData>
  <mergeCells count="16">
    <mergeCell ref="B22:B29"/>
    <mergeCell ref="I4:I5"/>
    <mergeCell ref="B7:B14"/>
    <mergeCell ref="B19:B20"/>
    <mergeCell ref="C19:C20"/>
    <mergeCell ref="D19:D20"/>
    <mergeCell ref="E19:F19"/>
    <mergeCell ref="G19:G20"/>
    <mergeCell ref="H19:H20"/>
    <mergeCell ref="I19:I20"/>
    <mergeCell ref="B4:B5"/>
    <mergeCell ref="C4:C5"/>
    <mergeCell ref="D4:D5"/>
    <mergeCell ref="E4:F4"/>
    <mergeCell ref="G4:G5"/>
    <mergeCell ref="H4:H5"/>
  </mergeCells>
  <hyperlinks>
    <hyperlink ref="B2" location="Indhold!B86" display="Skema CR9.1 – IRB metoden – Back-testing af PD efter eksponeringsklasse (kun for PD-estimater i henhold til artikel 180, stk. 1, litra f), i CRR)" xr:uid="{E85F8158-0799-4FE7-8777-FB4C0CD1A8AC}"/>
  </hyperlinks>
  <pageMargins left="0.70866141732283472" right="0.70866141732283472" top="0.78740157480314965" bottom="0.78740157480314965" header="0.31496062992125984" footer="0.31496062992125984"/>
  <pageSetup paperSize="9" scale="67" orientation="landscape" r:id="rId1"/>
  <headerFooter>
    <oddHeader>&amp;CDA
Bilag XXI</oddHead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9F89A-80D2-4C76-B021-94220E540118}">
  <sheetPr>
    <tabColor rgb="FFFF0000"/>
    <pageSetUpPr fitToPage="1"/>
  </sheetPr>
  <dimension ref="A1:H78"/>
  <sheetViews>
    <sheetView showGridLines="0" zoomScaleNormal="100" workbookViewId="0"/>
  </sheetViews>
  <sheetFormatPr defaultRowHeight="15" x14ac:dyDescent="0.25"/>
  <cols>
    <col min="1" max="1" width="14.7109375" customWidth="1"/>
    <col min="2" max="2" width="16.5703125" customWidth="1"/>
    <col min="3" max="3" width="16.85546875" customWidth="1"/>
    <col min="4" max="4" width="17.7109375" customWidth="1"/>
    <col min="5" max="5" width="16.140625" customWidth="1"/>
    <col min="6" max="6" width="23.7109375" customWidth="1"/>
    <col min="7" max="7" width="17.140625" customWidth="1"/>
    <col min="8" max="8" width="18.28515625" customWidth="1"/>
  </cols>
  <sheetData>
    <row r="1" spans="1:8" ht="21" x14ac:dyDescent="0.35">
      <c r="A1" s="866" t="s">
        <v>874</v>
      </c>
      <c r="B1" s="259"/>
      <c r="C1" s="259"/>
      <c r="D1" s="259"/>
      <c r="E1" s="259"/>
      <c r="F1" s="259"/>
      <c r="G1" s="238"/>
      <c r="H1" s="238"/>
    </row>
    <row r="3" spans="1:8" x14ac:dyDescent="0.25">
      <c r="A3" s="32" t="s">
        <v>875</v>
      </c>
    </row>
    <row r="4" spans="1:8" x14ac:dyDescent="0.25">
      <c r="A4" s="1335" t="s">
        <v>876</v>
      </c>
      <c r="B4" s="1335"/>
      <c r="C4" s="1335"/>
      <c r="D4" s="1335"/>
      <c r="E4" s="1335"/>
      <c r="F4" s="1335"/>
      <c r="G4" s="1335"/>
      <c r="H4" s="1335"/>
    </row>
    <row r="5" spans="1:8" ht="30" x14ac:dyDescent="0.25">
      <c r="A5" s="1336" t="s">
        <v>877</v>
      </c>
      <c r="B5" s="1336" t="s">
        <v>878</v>
      </c>
      <c r="C5" s="6" t="s">
        <v>879</v>
      </c>
      <c r="D5" s="6" t="s">
        <v>880</v>
      </c>
      <c r="E5" s="239" t="s">
        <v>755</v>
      </c>
      <c r="F5" s="239" t="s">
        <v>101</v>
      </c>
      <c r="G5" s="239" t="s">
        <v>854</v>
      </c>
      <c r="H5" s="239" t="s">
        <v>775</v>
      </c>
    </row>
    <row r="6" spans="1:8" x14ac:dyDescent="0.25">
      <c r="A6" s="1337"/>
      <c r="B6" s="1337"/>
      <c r="C6" s="31" t="s">
        <v>103</v>
      </c>
      <c r="D6" s="31" t="s">
        <v>102</v>
      </c>
      <c r="E6" s="31" t="s">
        <v>97</v>
      </c>
      <c r="F6" s="31" t="s">
        <v>96</v>
      </c>
      <c r="G6" s="31" t="s">
        <v>95</v>
      </c>
      <c r="H6" s="31" t="s">
        <v>111</v>
      </c>
    </row>
    <row r="7" spans="1:8" x14ac:dyDescent="0.25">
      <c r="A7" s="1334" t="s">
        <v>881</v>
      </c>
      <c r="B7" s="250" t="s">
        <v>882</v>
      </c>
      <c r="C7" s="250"/>
      <c r="D7" s="250"/>
      <c r="E7" s="306">
        <v>0.5</v>
      </c>
      <c r="F7" s="250"/>
      <c r="G7" s="250"/>
      <c r="H7" s="250"/>
    </row>
    <row r="8" spans="1:8" ht="30" x14ac:dyDescent="0.25">
      <c r="A8" s="1334"/>
      <c r="B8" s="250" t="s">
        <v>883</v>
      </c>
      <c r="C8" s="250"/>
      <c r="D8" s="250"/>
      <c r="E8" s="306">
        <v>0.7</v>
      </c>
      <c r="F8" s="250"/>
      <c r="G8" s="250"/>
      <c r="H8" s="250"/>
    </row>
    <row r="9" spans="1:8" x14ac:dyDescent="0.25">
      <c r="A9" s="1334" t="s">
        <v>884</v>
      </c>
      <c r="B9" s="250" t="s">
        <v>882</v>
      </c>
      <c r="C9" s="250"/>
      <c r="D9" s="250"/>
      <c r="E9" s="306">
        <v>0.7</v>
      </c>
      <c r="F9" s="250"/>
      <c r="G9" s="250"/>
      <c r="H9" s="250"/>
    </row>
    <row r="10" spans="1:8" ht="30" x14ac:dyDescent="0.25">
      <c r="A10" s="1334"/>
      <c r="B10" s="250" t="s">
        <v>883</v>
      </c>
      <c r="C10" s="250"/>
      <c r="D10" s="250"/>
      <c r="E10" s="306">
        <v>0.9</v>
      </c>
      <c r="F10" s="250"/>
      <c r="G10" s="250"/>
      <c r="H10" s="250"/>
    </row>
    <row r="11" spans="1:8" x14ac:dyDescent="0.25">
      <c r="A11" s="1334" t="s">
        <v>885</v>
      </c>
      <c r="B11" s="250" t="s">
        <v>882</v>
      </c>
      <c r="C11" s="250"/>
      <c r="D11" s="250"/>
      <c r="E11" s="306">
        <v>1.1499999999999999</v>
      </c>
      <c r="F11" s="250"/>
      <c r="G11" s="250"/>
      <c r="H11" s="250"/>
    </row>
    <row r="12" spans="1:8" ht="30" x14ac:dyDescent="0.25">
      <c r="A12" s="1334"/>
      <c r="B12" s="250" t="s">
        <v>883</v>
      </c>
      <c r="C12" s="250"/>
      <c r="D12" s="250"/>
      <c r="E12" s="306">
        <v>1.1499999999999999</v>
      </c>
      <c r="F12" s="250"/>
      <c r="G12" s="250"/>
      <c r="H12" s="250"/>
    </row>
    <row r="13" spans="1:8" x14ac:dyDescent="0.25">
      <c r="A13" s="1334" t="s">
        <v>886</v>
      </c>
      <c r="B13" s="250" t="s">
        <v>882</v>
      </c>
      <c r="C13" s="250"/>
      <c r="D13" s="250"/>
      <c r="E13" s="306">
        <v>2.5</v>
      </c>
      <c r="F13" s="250"/>
      <c r="G13" s="250"/>
      <c r="H13" s="250"/>
    </row>
    <row r="14" spans="1:8" ht="30" x14ac:dyDescent="0.25">
      <c r="A14" s="1334"/>
      <c r="B14" s="250" t="s">
        <v>883</v>
      </c>
      <c r="C14" s="250"/>
      <c r="D14" s="250"/>
      <c r="E14" s="306">
        <v>2.5</v>
      </c>
      <c r="F14" s="250"/>
      <c r="G14" s="250"/>
      <c r="H14" s="250"/>
    </row>
    <row r="15" spans="1:8" x14ac:dyDescent="0.25">
      <c r="A15" s="1334" t="s">
        <v>887</v>
      </c>
      <c r="B15" s="250" t="s">
        <v>882</v>
      </c>
      <c r="C15" s="250"/>
      <c r="D15" s="250"/>
      <c r="E15" s="307" t="s">
        <v>888</v>
      </c>
      <c r="F15" s="250"/>
      <c r="G15" s="250"/>
      <c r="H15" s="250"/>
    </row>
    <row r="16" spans="1:8" ht="30" x14ac:dyDescent="0.25">
      <c r="A16" s="1334"/>
      <c r="B16" s="250" t="s">
        <v>883</v>
      </c>
      <c r="C16" s="250"/>
      <c r="D16" s="250"/>
      <c r="E16" s="307" t="s">
        <v>888</v>
      </c>
      <c r="F16" s="250"/>
      <c r="G16" s="250"/>
      <c r="H16" s="250"/>
    </row>
    <row r="17" spans="1:8" x14ac:dyDescent="0.25">
      <c r="A17" s="1334" t="s">
        <v>0</v>
      </c>
      <c r="B17" s="250" t="s">
        <v>882</v>
      </c>
      <c r="C17" s="250"/>
      <c r="D17" s="250"/>
      <c r="E17" s="250"/>
      <c r="F17" s="250"/>
      <c r="G17" s="250"/>
      <c r="H17" s="250"/>
    </row>
    <row r="18" spans="1:8" ht="30" x14ac:dyDescent="0.25">
      <c r="A18" s="1334"/>
      <c r="B18" s="250" t="s">
        <v>883</v>
      </c>
      <c r="C18" s="250"/>
      <c r="D18" s="250"/>
      <c r="E18" s="250"/>
      <c r="F18" s="250"/>
      <c r="G18" s="250"/>
      <c r="H18" s="250"/>
    </row>
    <row r="20" spans="1:8" x14ac:dyDescent="0.25">
      <c r="A20" s="32" t="s">
        <v>889</v>
      </c>
    </row>
    <row r="21" spans="1:8" x14ac:dyDescent="0.25">
      <c r="A21" s="1335" t="s">
        <v>890</v>
      </c>
      <c r="B21" s="1335"/>
      <c r="C21" s="1335"/>
      <c r="D21" s="1335"/>
      <c r="E21" s="1335"/>
      <c r="F21" s="1335"/>
      <c r="G21" s="1335"/>
      <c r="H21" s="1335"/>
    </row>
    <row r="22" spans="1:8" ht="30" x14ac:dyDescent="0.25">
      <c r="A22" s="1336" t="s">
        <v>877</v>
      </c>
      <c r="B22" s="1336" t="s">
        <v>878</v>
      </c>
      <c r="C22" s="6" t="s">
        <v>879</v>
      </c>
      <c r="D22" s="6" t="s">
        <v>880</v>
      </c>
      <c r="E22" s="239" t="s">
        <v>755</v>
      </c>
      <c r="F22" s="239" t="s">
        <v>101</v>
      </c>
      <c r="G22" s="239" t="s">
        <v>854</v>
      </c>
      <c r="H22" s="239" t="s">
        <v>775</v>
      </c>
    </row>
    <row r="23" spans="1:8" x14ac:dyDescent="0.25">
      <c r="A23" s="1337"/>
      <c r="B23" s="1337"/>
      <c r="C23" s="31" t="s">
        <v>103</v>
      </c>
      <c r="D23" s="31" t="s">
        <v>102</v>
      </c>
      <c r="E23" s="31" t="s">
        <v>97</v>
      </c>
      <c r="F23" s="31" t="s">
        <v>96</v>
      </c>
      <c r="G23" s="31" t="s">
        <v>95</v>
      </c>
      <c r="H23" s="31" t="s">
        <v>111</v>
      </c>
    </row>
    <row r="24" spans="1:8" x14ac:dyDescent="0.25">
      <c r="A24" s="1334" t="s">
        <v>881</v>
      </c>
      <c r="B24" s="250" t="s">
        <v>882</v>
      </c>
      <c r="C24" s="250"/>
      <c r="D24" s="250"/>
      <c r="E24" s="306">
        <v>0.5</v>
      </c>
      <c r="F24" s="250"/>
      <c r="G24" s="250"/>
      <c r="H24" s="250"/>
    </row>
    <row r="25" spans="1:8" ht="30" x14ac:dyDescent="0.25">
      <c r="A25" s="1334"/>
      <c r="B25" s="250" t="s">
        <v>883</v>
      </c>
      <c r="C25" s="250"/>
      <c r="D25" s="250"/>
      <c r="E25" s="306">
        <v>0.7</v>
      </c>
      <c r="F25" s="250"/>
      <c r="G25" s="250"/>
      <c r="H25" s="250"/>
    </row>
    <row r="26" spans="1:8" x14ac:dyDescent="0.25">
      <c r="A26" s="1334" t="s">
        <v>884</v>
      </c>
      <c r="B26" s="250" t="s">
        <v>882</v>
      </c>
      <c r="C26" s="250"/>
      <c r="D26" s="250"/>
      <c r="E26" s="306">
        <v>0.7</v>
      </c>
      <c r="F26" s="250"/>
      <c r="G26" s="250"/>
      <c r="H26" s="250"/>
    </row>
    <row r="27" spans="1:8" ht="30" x14ac:dyDescent="0.25">
      <c r="A27" s="1334"/>
      <c r="B27" s="250" t="s">
        <v>883</v>
      </c>
      <c r="C27" s="250"/>
      <c r="D27" s="250"/>
      <c r="E27" s="306">
        <v>0.9</v>
      </c>
      <c r="F27" s="250"/>
      <c r="G27" s="250"/>
      <c r="H27" s="250"/>
    </row>
    <row r="28" spans="1:8" x14ac:dyDescent="0.25">
      <c r="A28" s="1334" t="s">
        <v>885</v>
      </c>
      <c r="B28" s="250" t="s">
        <v>882</v>
      </c>
      <c r="C28" s="250"/>
      <c r="D28" s="250"/>
      <c r="E28" s="306">
        <v>1.1499999999999999</v>
      </c>
      <c r="F28" s="250"/>
      <c r="G28" s="250"/>
      <c r="H28" s="250"/>
    </row>
    <row r="29" spans="1:8" ht="30" x14ac:dyDescent="0.25">
      <c r="A29" s="1334"/>
      <c r="B29" s="250" t="s">
        <v>883</v>
      </c>
      <c r="C29" s="250"/>
      <c r="D29" s="250"/>
      <c r="E29" s="306">
        <v>1.1499999999999999</v>
      </c>
      <c r="F29" s="250"/>
      <c r="G29" s="250"/>
      <c r="H29" s="250"/>
    </row>
    <row r="30" spans="1:8" x14ac:dyDescent="0.25">
      <c r="A30" s="1334" t="s">
        <v>886</v>
      </c>
      <c r="B30" s="250" t="s">
        <v>882</v>
      </c>
      <c r="C30" s="250"/>
      <c r="D30" s="250"/>
      <c r="E30" s="306">
        <v>2.5</v>
      </c>
      <c r="F30" s="250"/>
      <c r="G30" s="250"/>
      <c r="H30" s="250"/>
    </row>
    <row r="31" spans="1:8" ht="30" x14ac:dyDescent="0.25">
      <c r="A31" s="1334"/>
      <c r="B31" s="250" t="s">
        <v>883</v>
      </c>
      <c r="C31" s="250"/>
      <c r="D31" s="250"/>
      <c r="E31" s="306">
        <v>2.5</v>
      </c>
      <c r="F31" s="250"/>
      <c r="G31" s="250"/>
      <c r="H31" s="250"/>
    </row>
    <row r="32" spans="1:8" x14ac:dyDescent="0.25">
      <c r="A32" s="1334" t="s">
        <v>887</v>
      </c>
      <c r="B32" s="250" t="s">
        <v>882</v>
      </c>
      <c r="C32" s="250"/>
      <c r="D32" s="250"/>
      <c r="E32" s="307" t="s">
        <v>888</v>
      </c>
      <c r="F32" s="250"/>
      <c r="G32" s="250"/>
      <c r="H32" s="250"/>
    </row>
    <row r="33" spans="1:8" ht="30" x14ac:dyDescent="0.25">
      <c r="A33" s="1334"/>
      <c r="B33" s="250" t="s">
        <v>883</v>
      </c>
      <c r="C33" s="250"/>
      <c r="D33" s="250"/>
      <c r="E33" s="307" t="s">
        <v>888</v>
      </c>
      <c r="F33" s="250"/>
      <c r="G33" s="250"/>
      <c r="H33" s="250"/>
    </row>
    <row r="34" spans="1:8" x14ac:dyDescent="0.25">
      <c r="A34" s="1334" t="s">
        <v>0</v>
      </c>
      <c r="B34" s="250" t="s">
        <v>882</v>
      </c>
      <c r="C34" s="250"/>
      <c r="D34" s="250"/>
      <c r="E34" s="250"/>
      <c r="F34" s="250"/>
      <c r="G34" s="250"/>
      <c r="H34" s="250"/>
    </row>
    <row r="35" spans="1:8" ht="30" x14ac:dyDescent="0.25">
      <c r="A35" s="1334"/>
      <c r="B35" s="250" t="s">
        <v>883</v>
      </c>
      <c r="C35" s="250"/>
      <c r="D35" s="250"/>
      <c r="E35" s="250"/>
      <c r="F35" s="250"/>
      <c r="G35" s="250"/>
      <c r="H35" s="250"/>
    </row>
    <row r="37" spans="1:8" x14ac:dyDescent="0.25">
      <c r="A37" s="32" t="s">
        <v>891</v>
      </c>
    </row>
    <row r="38" spans="1:8" x14ac:dyDescent="0.25">
      <c r="A38" s="1335" t="s">
        <v>892</v>
      </c>
      <c r="B38" s="1335"/>
      <c r="C38" s="1335"/>
      <c r="D38" s="1335"/>
      <c r="E38" s="1335"/>
      <c r="F38" s="1335"/>
      <c r="G38" s="1335"/>
      <c r="H38" s="1335"/>
    </row>
    <row r="39" spans="1:8" ht="30" x14ac:dyDescent="0.25">
      <c r="A39" s="1332" t="s">
        <v>877</v>
      </c>
      <c r="B39" s="1332" t="s">
        <v>878</v>
      </c>
      <c r="C39" s="308" t="s">
        <v>879</v>
      </c>
      <c r="D39" s="308" t="s">
        <v>880</v>
      </c>
      <c r="E39" s="309" t="s">
        <v>755</v>
      </c>
      <c r="F39" s="309" t="s">
        <v>101</v>
      </c>
      <c r="G39" s="309" t="s">
        <v>854</v>
      </c>
      <c r="H39" s="309" t="s">
        <v>775</v>
      </c>
    </row>
    <row r="40" spans="1:8" x14ac:dyDescent="0.25">
      <c r="A40" s="1333"/>
      <c r="B40" s="1333"/>
      <c r="C40" s="307" t="s">
        <v>103</v>
      </c>
      <c r="D40" s="307" t="s">
        <v>102</v>
      </c>
      <c r="E40" s="307" t="s">
        <v>97</v>
      </c>
      <c r="F40" s="307" t="s">
        <v>96</v>
      </c>
      <c r="G40" s="307" t="s">
        <v>95</v>
      </c>
      <c r="H40" s="307" t="s">
        <v>111</v>
      </c>
    </row>
    <row r="41" spans="1:8" x14ac:dyDescent="0.25">
      <c r="A41" s="1334" t="s">
        <v>881</v>
      </c>
      <c r="B41" s="250" t="s">
        <v>882</v>
      </c>
      <c r="C41" s="250"/>
      <c r="D41" s="250"/>
      <c r="E41" s="306">
        <v>0.5</v>
      </c>
      <c r="F41" s="250"/>
      <c r="G41" s="250"/>
      <c r="H41" s="250"/>
    </row>
    <row r="42" spans="1:8" ht="30" x14ac:dyDescent="0.25">
      <c r="A42" s="1334"/>
      <c r="B42" s="250" t="s">
        <v>883</v>
      </c>
      <c r="C42" s="250"/>
      <c r="D42" s="250"/>
      <c r="E42" s="306">
        <v>0.7</v>
      </c>
      <c r="F42" s="250"/>
      <c r="G42" s="250"/>
      <c r="H42" s="250"/>
    </row>
    <row r="43" spans="1:8" x14ac:dyDescent="0.25">
      <c r="A43" s="1334" t="s">
        <v>884</v>
      </c>
      <c r="B43" s="250" t="s">
        <v>882</v>
      </c>
      <c r="C43" s="250"/>
      <c r="D43" s="250"/>
      <c r="E43" s="306">
        <v>0.7</v>
      </c>
      <c r="F43" s="250"/>
      <c r="G43" s="250"/>
      <c r="H43" s="250"/>
    </row>
    <row r="44" spans="1:8" ht="30" x14ac:dyDescent="0.25">
      <c r="A44" s="1334"/>
      <c r="B44" s="250" t="s">
        <v>883</v>
      </c>
      <c r="C44" s="250"/>
      <c r="D44" s="250"/>
      <c r="E44" s="306">
        <v>0.9</v>
      </c>
      <c r="F44" s="250"/>
      <c r="G44" s="250"/>
      <c r="H44" s="250"/>
    </row>
    <row r="45" spans="1:8" x14ac:dyDescent="0.25">
      <c r="A45" s="1334" t="s">
        <v>885</v>
      </c>
      <c r="B45" s="250" t="s">
        <v>882</v>
      </c>
      <c r="C45" s="250"/>
      <c r="D45" s="250"/>
      <c r="E45" s="306">
        <v>1.1499999999999999</v>
      </c>
      <c r="F45" s="250"/>
      <c r="G45" s="250"/>
      <c r="H45" s="250"/>
    </row>
    <row r="46" spans="1:8" ht="30" x14ac:dyDescent="0.25">
      <c r="A46" s="1334"/>
      <c r="B46" s="250" t="s">
        <v>883</v>
      </c>
      <c r="C46" s="250"/>
      <c r="D46" s="250"/>
      <c r="E46" s="306">
        <v>1.1499999999999999</v>
      </c>
      <c r="F46" s="250"/>
      <c r="G46" s="250"/>
      <c r="H46" s="250"/>
    </row>
    <row r="47" spans="1:8" x14ac:dyDescent="0.25">
      <c r="A47" s="1334" t="s">
        <v>886</v>
      </c>
      <c r="B47" s="250" t="s">
        <v>882</v>
      </c>
      <c r="C47" s="250"/>
      <c r="D47" s="250"/>
      <c r="E47" s="306">
        <v>2.5</v>
      </c>
      <c r="F47" s="250"/>
      <c r="G47" s="250"/>
      <c r="H47" s="250"/>
    </row>
    <row r="48" spans="1:8" ht="30" x14ac:dyDescent="0.25">
      <c r="A48" s="1334"/>
      <c r="B48" s="250" t="s">
        <v>883</v>
      </c>
      <c r="C48" s="250"/>
      <c r="D48" s="250"/>
      <c r="E48" s="306">
        <v>2.5</v>
      </c>
      <c r="F48" s="250"/>
      <c r="G48" s="250"/>
      <c r="H48" s="250"/>
    </row>
    <row r="49" spans="1:8" x14ac:dyDescent="0.25">
      <c r="A49" s="1334" t="s">
        <v>887</v>
      </c>
      <c r="B49" s="250" t="s">
        <v>882</v>
      </c>
      <c r="C49" s="250"/>
      <c r="D49" s="250"/>
      <c r="E49" s="307" t="s">
        <v>888</v>
      </c>
      <c r="F49" s="250"/>
      <c r="G49" s="250"/>
      <c r="H49" s="250"/>
    </row>
    <row r="50" spans="1:8" ht="30" x14ac:dyDescent="0.25">
      <c r="A50" s="1334"/>
      <c r="B50" s="250" t="s">
        <v>883</v>
      </c>
      <c r="C50" s="250"/>
      <c r="D50" s="250"/>
      <c r="E50" s="307" t="s">
        <v>888</v>
      </c>
      <c r="F50" s="250"/>
      <c r="G50" s="250"/>
      <c r="H50" s="250"/>
    </row>
    <row r="51" spans="1:8" x14ac:dyDescent="0.25">
      <c r="A51" s="1334" t="s">
        <v>0</v>
      </c>
      <c r="B51" s="250" t="s">
        <v>882</v>
      </c>
      <c r="C51" s="250"/>
      <c r="D51" s="250"/>
      <c r="E51" s="250"/>
      <c r="F51" s="250"/>
      <c r="G51" s="250"/>
      <c r="H51" s="250"/>
    </row>
    <row r="52" spans="1:8" ht="30" x14ac:dyDescent="0.25">
      <c r="A52" s="1334"/>
      <c r="B52" s="250" t="s">
        <v>883</v>
      </c>
      <c r="C52" s="250"/>
      <c r="D52" s="250"/>
      <c r="E52" s="250"/>
      <c r="F52" s="250"/>
      <c r="G52" s="250"/>
      <c r="H52" s="250"/>
    </row>
    <row r="54" spans="1:8" x14ac:dyDescent="0.25">
      <c r="A54" s="32" t="s">
        <v>893</v>
      </c>
    </row>
    <row r="55" spans="1:8" x14ac:dyDescent="0.25">
      <c r="A55" s="1335" t="s">
        <v>894</v>
      </c>
      <c r="B55" s="1335"/>
      <c r="C55" s="1335"/>
      <c r="D55" s="1335"/>
      <c r="E55" s="1335"/>
      <c r="F55" s="1335"/>
      <c r="G55" s="1335"/>
      <c r="H55" s="1335"/>
    </row>
    <row r="56" spans="1:8" ht="30" x14ac:dyDescent="0.25">
      <c r="A56" s="1332" t="s">
        <v>877</v>
      </c>
      <c r="B56" s="1332" t="s">
        <v>878</v>
      </c>
      <c r="C56" s="308" t="s">
        <v>879</v>
      </c>
      <c r="D56" s="308" t="s">
        <v>880</v>
      </c>
      <c r="E56" s="309" t="s">
        <v>755</v>
      </c>
      <c r="F56" s="309" t="s">
        <v>101</v>
      </c>
      <c r="G56" s="309" t="s">
        <v>854</v>
      </c>
      <c r="H56" s="309" t="s">
        <v>775</v>
      </c>
    </row>
    <row r="57" spans="1:8" x14ac:dyDescent="0.25">
      <c r="A57" s="1333"/>
      <c r="B57" s="1333"/>
      <c r="C57" s="307" t="s">
        <v>103</v>
      </c>
      <c r="D57" s="307" t="s">
        <v>102</v>
      </c>
      <c r="E57" s="307" t="s">
        <v>97</v>
      </c>
      <c r="F57" s="307" t="s">
        <v>96</v>
      </c>
      <c r="G57" s="307" t="s">
        <v>95</v>
      </c>
      <c r="H57" s="307" t="s">
        <v>111</v>
      </c>
    </row>
    <row r="58" spans="1:8" x14ac:dyDescent="0.25">
      <c r="A58" s="1334" t="s">
        <v>881</v>
      </c>
      <c r="B58" s="250" t="s">
        <v>882</v>
      </c>
      <c r="C58" s="250"/>
      <c r="D58" s="250"/>
      <c r="E58" s="306">
        <v>0.5</v>
      </c>
      <c r="F58" s="250"/>
      <c r="G58" s="250"/>
      <c r="H58" s="250"/>
    </row>
    <row r="59" spans="1:8" ht="30" x14ac:dyDescent="0.25">
      <c r="A59" s="1334"/>
      <c r="B59" s="250" t="s">
        <v>883</v>
      </c>
      <c r="C59" s="250"/>
      <c r="D59" s="250"/>
      <c r="E59" s="306">
        <v>0.7</v>
      </c>
      <c r="F59" s="250"/>
      <c r="G59" s="250"/>
      <c r="H59" s="250"/>
    </row>
    <row r="60" spans="1:8" x14ac:dyDescent="0.25">
      <c r="A60" s="1334" t="s">
        <v>884</v>
      </c>
      <c r="B60" s="250" t="s">
        <v>882</v>
      </c>
      <c r="C60" s="250"/>
      <c r="D60" s="250"/>
      <c r="E60" s="306">
        <v>0.7</v>
      </c>
      <c r="F60" s="250"/>
      <c r="G60" s="250"/>
      <c r="H60" s="250"/>
    </row>
    <row r="61" spans="1:8" ht="30" x14ac:dyDescent="0.25">
      <c r="A61" s="1334"/>
      <c r="B61" s="250" t="s">
        <v>883</v>
      </c>
      <c r="C61" s="250"/>
      <c r="D61" s="250"/>
      <c r="E61" s="306">
        <v>0.9</v>
      </c>
      <c r="F61" s="250"/>
      <c r="G61" s="250"/>
      <c r="H61" s="250"/>
    </row>
    <row r="62" spans="1:8" x14ac:dyDescent="0.25">
      <c r="A62" s="1334" t="s">
        <v>885</v>
      </c>
      <c r="B62" s="250" t="s">
        <v>882</v>
      </c>
      <c r="C62" s="250"/>
      <c r="D62" s="250"/>
      <c r="E62" s="306">
        <v>1.1499999999999999</v>
      </c>
      <c r="F62" s="250"/>
      <c r="G62" s="250"/>
      <c r="H62" s="250"/>
    </row>
    <row r="63" spans="1:8" ht="30" x14ac:dyDescent="0.25">
      <c r="A63" s="1334"/>
      <c r="B63" s="250" t="s">
        <v>883</v>
      </c>
      <c r="C63" s="250"/>
      <c r="D63" s="250"/>
      <c r="E63" s="306">
        <v>1.1499999999999999</v>
      </c>
      <c r="F63" s="250"/>
      <c r="G63" s="250"/>
      <c r="H63" s="250"/>
    </row>
    <row r="64" spans="1:8" x14ac:dyDescent="0.25">
      <c r="A64" s="1334" t="s">
        <v>886</v>
      </c>
      <c r="B64" s="250" t="s">
        <v>882</v>
      </c>
      <c r="C64" s="250"/>
      <c r="D64" s="250"/>
      <c r="E64" s="306">
        <v>2.5</v>
      </c>
      <c r="F64" s="250"/>
      <c r="G64" s="250"/>
      <c r="H64" s="250"/>
    </row>
    <row r="65" spans="1:8" ht="30" x14ac:dyDescent="0.25">
      <c r="A65" s="1334"/>
      <c r="B65" s="250" t="s">
        <v>883</v>
      </c>
      <c r="C65" s="250"/>
      <c r="D65" s="250"/>
      <c r="E65" s="306">
        <v>2.5</v>
      </c>
      <c r="F65" s="250"/>
      <c r="G65" s="250"/>
      <c r="H65" s="250"/>
    </row>
    <row r="66" spans="1:8" x14ac:dyDescent="0.25">
      <c r="A66" s="1334" t="s">
        <v>887</v>
      </c>
      <c r="B66" s="250" t="s">
        <v>882</v>
      </c>
      <c r="C66" s="250"/>
      <c r="D66" s="250"/>
      <c r="E66" s="307" t="s">
        <v>888</v>
      </c>
      <c r="F66" s="250"/>
      <c r="G66" s="250"/>
      <c r="H66" s="250"/>
    </row>
    <row r="67" spans="1:8" ht="30" x14ac:dyDescent="0.25">
      <c r="A67" s="1334"/>
      <c r="B67" s="250" t="s">
        <v>883</v>
      </c>
      <c r="C67" s="250"/>
      <c r="D67" s="250"/>
      <c r="E67" s="307" t="s">
        <v>888</v>
      </c>
      <c r="F67" s="250"/>
      <c r="G67" s="250"/>
      <c r="H67" s="250"/>
    </row>
    <row r="68" spans="1:8" x14ac:dyDescent="0.25">
      <c r="A68" s="1334" t="s">
        <v>0</v>
      </c>
      <c r="B68" s="250" t="s">
        <v>882</v>
      </c>
      <c r="C68" s="250"/>
      <c r="D68" s="250"/>
      <c r="E68" s="250"/>
      <c r="F68" s="250"/>
      <c r="G68" s="250"/>
      <c r="H68" s="250"/>
    </row>
    <row r="69" spans="1:8" ht="30" x14ac:dyDescent="0.25">
      <c r="A69" s="1334"/>
      <c r="B69" s="250" t="s">
        <v>883</v>
      </c>
      <c r="C69" s="250"/>
      <c r="D69" s="250"/>
      <c r="E69" s="250"/>
      <c r="F69" s="250"/>
      <c r="G69" s="250"/>
      <c r="H69" s="250"/>
    </row>
    <row r="71" spans="1:8" x14ac:dyDescent="0.25">
      <c r="A71" s="32" t="s">
        <v>895</v>
      </c>
    </row>
    <row r="72" spans="1:8" x14ac:dyDescent="0.25">
      <c r="A72" s="1331" t="s">
        <v>896</v>
      </c>
      <c r="B72" s="1331"/>
      <c r="C72" s="1331"/>
      <c r="D72" s="1331"/>
      <c r="E72" s="1331"/>
      <c r="F72" s="1331"/>
      <c r="G72" s="1331"/>
    </row>
    <row r="73" spans="1:8" ht="30" x14ac:dyDescent="0.25">
      <c r="A73" s="1332" t="s">
        <v>897</v>
      </c>
      <c r="B73" s="6" t="s">
        <v>879</v>
      </c>
      <c r="C73" s="6" t="s">
        <v>880</v>
      </c>
      <c r="D73" s="239" t="s">
        <v>755</v>
      </c>
      <c r="E73" s="239" t="s">
        <v>101</v>
      </c>
      <c r="F73" s="239" t="s">
        <v>854</v>
      </c>
      <c r="G73" s="239" t="s">
        <v>775</v>
      </c>
    </row>
    <row r="74" spans="1:8" x14ac:dyDescent="0.25">
      <c r="A74" s="1333"/>
      <c r="B74" s="307" t="s">
        <v>103</v>
      </c>
      <c r="C74" s="307" t="s">
        <v>102</v>
      </c>
      <c r="D74" s="307" t="s">
        <v>97</v>
      </c>
      <c r="E74" s="307" t="s">
        <v>96</v>
      </c>
      <c r="F74" s="307" t="s">
        <v>95</v>
      </c>
      <c r="G74" s="307" t="s">
        <v>111</v>
      </c>
    </row>
    <row r="75" spans="1:8" ht="30" x14ac:dyDescent="0.25">
      <c r="A75" s="250" t="s">
        <v>898</v>
      </c>
      <c r="B75" s="250"/>
      <c r="C75" s="250"/>
      <c r="D75" s="306">
        <v>1.9</v>
      </c>
      <c r="E75" s="250"/>
      <c r="F75" s="250"/>
      <c r="G75" s="250"/>
    </row>
    <row r="76" spans="1:8" ht="30" x14ac:dyDescent="0.25">
      <c r="A76" s="250" t="s">
        <v>899</v>
      </c>
      <c r="B76" s="250"/>
      <c r="C76" s="250"/>
      <c r="D76" s="306">
        <v>2.9</v>
      </c>
      <c r="E76" s="250"/>
      <c r="F76" s="250"/>
      <c r="G76" s="250"/>
    </row>
    <row r="77" spans="1:8" ht="45" x14ac:dyDescent="0.25">
      <c r="A77" s="250" t="s">
        <v>900</v>
      </c>
      <c r="B77" s="250"/>
      <c r="C77" s="250"/>
      <c r="D77" s="306">
        <v>3.7</v>
      </c>
      <c r="E77" s="250"/>
      <c r="F77" s="250"/>
      <c r="G77" s="250"/>
    </row>
    <row r="78" spans="1:8" x14ac:dyDescent="0.25">
      <c r="A78" s="250" t="s">
        <v>0</v>
      </c>
      <c r="B78" s="250"/>
      <c r="C78" s="250"/>
      <c r="D78" s="250"/>
      <c r="E78" s="250"/>
      <c r="F78" s="250"/>
      <c r="G78" s="250"/>
    </row>
  </sheetData>
  <mergeCells count="38">
    <mergeCell ref="A11:A12"/>
    <mergeCell ref="A4:H4"/>
    <mergeCell ref="A5:A6"/>
    <mergeCell ref="B5:B6"/>
    <mergeCell ref="A7:A8"/>
    <mergeCell ref="A9:A10"/>
    <mergeCell ref="A13:A14"/>
    <mergeCell ref="A15:A16"/>
    <mergeCell ref="A17:A18"/>
    <mergeCell ref="A21:H21"/>
    <mergeCell ref="A22:A23"/>
    <mergeCell ref="B22:B23"/>
    <mergeCell ref="A45:A46"/>
    <mergeCell ref="A24:A25"/>
    <mergeCell ref="A26:A27"/>
    <mergeCell ref="A28:A29"/>
    <mergeCell ref="A30:A31"/>
    <mergeCell ref="A32:A33"/>
    <mergeCell ref="A34:A35"/>
    <mergeCell ref="A38:H38"/>
    <mergeCell ref="A39:A40"/>
    <mergeCell ref="B39:B40"/>
    <mergeCell ref="A41:A42"/>
    <mergeCell ref="A43:A44"/>
    <mergeCell ref="A47:A48"/>
    <mergeCell ref="A49:A50"/>
    <mergeCell ref="A51:A52"/>
    <mergeCell ref="A55:H55"/>
    <mergeCell ref="A56:A57"/>
    <mergeCell ref="B56:B57"/>
    <mergeCell ref="A72:G72"/>
    <mergeCell ref="A73:A74"/>
    <mergeCell ref="A58:A59"/>
    <mergeCell ref="A60:A61"/>
    <mergeCell ref="A62:A63"/>
    <mergeCell ref="A64:A65"/>
    <mergeCell ref="A66:A67"/>
    <mergeCell ref="A68:A69"/>
  </mergeCells>
  <hyperlinks>
    <hyperlink ref="A1" location="Indhold!B87" display="Skema EU CR10 – Specialiseret långivning og aktieeksponeringer i henhold til den forenklede risikovægtningsmetode" xr:uid="{26B0CB37-B826-4642-92EF-B9AEEE55732D}"/>
  </hyperlinks>
  <pageMargins left="0.70866141732283472" right="0.70866141732283472" top="0.74803149606299213" bottom="0.74803149606299213" header="0.31496062992125984" footer="0.31496062992125984"/>
  <pageSetup paperSize="9" scale="92" fitToHeight="0" orientation="landscape" r:id="rId1"/>
  <headerFooter>
    <oddHeader>&amp;CDA
Bilag XXIII</oddHead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66000-7068-4456-83EB-88CEB55FB1B3}">
  <sheetPr>
    <tabColor rgb="FFFF0000"/>
  </sheetPr>
  <dimension ref="A1:T28"/>
  <sheetViews>
    <sheetView showGridLines="0" zoomScaleNormal="100" workbookViewId="0"/>
  </sheetViews>
  <sheetFormatPr defaultColWidth="9.140625" defaultRowHeight="15" x14ac:dyDescent="0.25"/>
  <cols>
    <col min="2" max="2" width="20.5703125" customWidth="1"/>
    <col min="3" max="3" width="29.28515625" customWidth="1"/>
    <col min="4" max="8" width="13.28515625" customWidth="1"/>
    <col min="9" max="10" width="14.28515625" customWidth="1"/>
  </cols>
  <sheetData>
    <row r="1" spans="1:13" x14ac:dyDescent="0.25">
      <c r="A1" s="866" t="s">
        <v>928</v>
      </c>
    </row>
    <row r="2" spans="1:13" ht="15.75" x14ac:dyDescent="0.25">
      <c r="A2" s="310" t="s">
        <v>902</v>
      </c>
      <c r="E2" s="324"/>
    </row>
    <row r="3" spans="1:13" x14ac:dyDescent="0.25">
      <c r="B3" s="64"/>
      <c r="C3" s="311"/>
      <c r="D3" s="325"/>
      <c r="E3" s="311"/>
      <c r="F3" s="311"/>
      <c r="G3" s="311"/>
      <c r="H3" s="311"/>
      <c r="I3" s="311"/>
      <c r="J3" s="311"/>
      <c r="M3" s="125"/>
    </row>
    <row r="4" spans="1:13" ht="20.100000000000001" customHeight="1" x14ac:dyDescent="0.25">
      <c r="B4" s="239"/>
      <c r="C4" s="31"/>
      <c r="D4" s="10" t="s">
        <v>103</v>
      </c>
      <c r="E4" s="10" t="s">
        <v>102</v>
      </c>
      <c r="F4" s="10" t="s">
        <v>97</v>
      </c>
      <c r="G4" s="10" t="s">
        <v>96</v>
      </c>
      <c r="H4" s="10" t="s">
        <v>95</v>
      </c>
      <c r="I4" s="10" t="s">
        <v>111</v>
      </c>
      <c r="J4" s="13" t="s">
        <v>112</v>
      </c>
    </row>
    <row r="5" spans="1:13" ht="20.100000000000001" customHeight="1" x14ac:dyDescent="0.25">
      <c r="B5" s="1341"/>
      <c r="C5" s="1334" t="s">
        <v>929</v>
      </c>
      <c r="D5" s="987" t="s">
        <v>1275</v>
      </c>
      <c r="E5" s="1338" t="s">
        <v>1276</v>
      </c>
      <c r="F5" s="1338" t="s">
        <v>770</v>
      </c>
      <c r="G5" s="1338" t="s">
        <v>1277</v>
      </c>
      <c r="H5" s="1338" t="s">
        <v>1278</v>
      </c>
      <c r="I5" s="1338" t="s">
        <v>90</v>
      </c>
      <c r="J5" s="1338" t="s">
        <v>774</v>
      </c>
    </row>
    <row r="6" spans="1:13" ht="81" customHeight="1" x14ac:dyDescent="0.25">
      <c r="A6" s="326"/>
      <c r="B6" s="1341"/>
      <c r="C6" s="1334"/>
      <c r="D6" s="989"/>
      <c r="E6" s="1339"/>
      <c r="F6" s="1339"/>
      <c r="G6" s="1339"/>
      <c r="H6" s="1339"/>
      <c r="I6" s="1339"/>
      <c r="J6" s="1339"/>
    </row>
    <row r="7" spans="1:13" ht="34.5" customHeight="1" x14ac:dyDescent="0.25">
      <c r="A7" s="132" t="s">
        <v>930</v>
      </c>
      <c r="B7" s="58" t="s">
        <v>777</v>
      </c>
      <c r="C7" s="31"/>
      <c r="D7" s="58"/>
      <c r="E7" s="58"/>
      <c r="F7" s="58"/>
      <c r="G7" s="58"/>
      <c r="H7" s="58"/>
      <c r="I7" s="58"/>
      <c r="J7" s="58"/>
    </row>
    <row r="8" spans="1:13" ht="20.100000000000001" customHeight="1" x14ac:dyDescent="0.25">
      <c r="A8" s="327">
        <v>1</v>
      </c>
      <c r="B8" s="58"/>
      <c r="C8" s="31" t="s">
        <v>778</v>
      </c>
      <c r="D8" s="58"/>
      <c r="E8" s="58"/>
      <c r="F8" s="58"/>
      <c r="G8" s="58"/>
      <c r="H8" s="58"/>
      <c r="I8" s="58"/>
      <c r="J8" s="58"/>
    </row>
    <row r="9" spans="1:13" ht="20.100000000000001" customHeight="1" x14ac:dyDescent="0.25">
      <c r="A9" s="327">
        <v>2</v>
      </c>
      <c r="B9" s="58"/>
      <c r="C9" s="31" t="s">
        <v>781</v>
      </c>
      <c r="D9" s="58"/>
      <c r="E9" s="58"/>
      <c r="F9" s="58"/>
      <c r="G9" s="58"/>
      <c r="H9" s="58"/>
      <c r="I9" s="58"/>
      <c r="J9" s="58"/>
    </row>
    <row r="10" spans="1:13" ht="20.100000000000001" customHeight="1" x14ac:dyDescent="0.25">
      <c r="A10" s="327">
        <v>3</v>
      </c>
      <c r="B10" s="58"/>
      <c r="C10" s="31" t="s">
        <v>782</v>
      </c>
      <c r="D10" s="58"/>
      <c r="E10" s="58"/>
      <c r="F10" s="58"/>
      <c r="G10" s="58"/>
      <c r="H10" s="58"/>
      <c r="I10" s="58"/>
      <c r="J10" s="58"/>
    </row>
    <row r="11" spans="1:13" ht="20.100000000000001" customHeight="1" x14ac:dyDescent="0.25">
      <c r="A11" s="327">
        <v>4</v>
      </c>
      <c r="B11" s="58"/>
      <c r="C11" s="31" t="s">
        <v>783</v>
      </c>
      <c r="D11" s="58"/>
      <c r="E11" s="58"/>
      <c r="F11" s="58"/>
      <c r="G11" s="58"/>
      <c r="H11" s="58"/>
      <c r="I11" s="58"/>
      <c r="J11" s="58"/>
    </row>
    <row r="12" spans="1:13" ht="20.100000000000001" customHeight="1" x14ac:dyDescent="0.25">
      <c r="A12" s="327">
        <v>5</v>
      </c>
      <c r="B12" s="58"/>
      <c r="C12" s="31" t="s">
        <v>784</v>
      </c>
      <c r="D12" s="58"/>
      <c r="E12" s="58"/>
      <c r="F12" s="58"/>
      <c r="G12" s="58"/>
      <c r="H12" s="58"/>
      <c r="I12" s="58"/>
      <c r="J12" s="58"/>
    </row>
    <row r="13" spans="1:13" ht="20.100000000000001" customHeight="1" x14ac:dyDescent="0.25">
      <c r="A13" s="327">
        <v>6</v>
      </c>
      <c r="B13" s="58"/>
      <c r="C13" s="31" t="s">
        <v>787</v>
      </c>
      <c r="D13" s="58"/>
      <c r="E13" s="58"/>
      <c r="F13" s="58"/>
      <c r="G13" s="58"/>
      <c r="H13" s="58"/>
      <c r="I13" s="58"/>
      <c r="J13" s="58"/>
    </row>
    <row r="14" spans="1:13" ht="20.100000000000001" customHeight="1" x14ac:dyDescent="0.25">
      <c r="A14" s="327">
        <v>7</v>
      </c>
      <c r="B14" s="58"/>
      <c r="C14" s="31" t="s">
        <v>790</v>
      </c>
      <c r="D14" s="58"/>
      <c r="E14" s="58"/>
      <c r="F14" s="58"/>
      <c r="G14" s="58"/>
      <c r="H14" s="58"/>
      <c r="I14" s="58"/>
      <c r="J14" s="58"/>
    </row>
    <row r="15" spans="1:13" ht="20.100000000000001" customHeight="1" x14ac:dyDescent="0.25">
      <c r="A15" s="327">
        <v>8</v>
      </c>
      <c r="B15" s="58"/>
      <c r="C15" s="31" t="s">
        <v>794</v>
      </c>
      <c r="D15" s="58"/>
      <c r="E15" s="58"/>
      <c r="F15" s="58"/>
      <c r="G15" s="58"/>
      <c r="H15" s="58"/>
      <c r="I15" s="58"/>
      <c r="J15" s="58"/>
    </row>
    <row r="16" spans="1:13" ht="20.100000000000001" customHeight="1" x14ac:dyDescent="0.25">
      <c r="A16" s="327" t="s">
        <v>931</v>
      </c>
      <c r="B16" s="58"/>
      <c r="C16" s="10" t="s">
        <v>932</v>
      </c>
      <c r="D16" s="58"/>
      <c r="E16" s="58"/>
      <c r="F16" s="58"/>
      <c r="G16" s="58"/>
      <c r="H16" s="58"/>
      <c r="I16" s="58"/>
      <c r="J16" s="58"/>
    </row>
    <row r="17" spans="1:20" x14ac:dyDescent="0.25">
      <c r="A17" s="328" t="s">
        <v>933</v>
      </c>
      <c r="B17" s="1340" t="s">
        <v>934</v>
      </c>
      <c r="C17" s="1340"/>
      <c r="D17" s="58"/>
      <c r="E17" s="58"/>
      <c r="F17" s="58"/>
      <c r="G17" s="58"/>
      <c r="H17" s="58"/>
      <c r="I17" s="58"/>
      <c r="J17" s="58"/>
    </row>
    <row r="18" spans="1:20" x14ac:dyDescent="0.25">
      <c r="B18" s="90"/>
    </row>
    <row r="27" spans="1:20" ht="23.25" x14ac:dyDescent="0.35">
      <c r="O27" s="318"/>
      <c r="P27" s="329"/>
      <c r="Q27" s="329"/>
      <c r="R27" s="329"/>
      <c r="S27" s="329"/>
      <c r="T27" s="329"/>
    </row>
    <row r="28" spans="1:20" x14ac:dyDescent="0.25">
      <c r="O28" s="125"/>
    </row>
  </sheetData>
  <mergeCells count="10">
    <mergeCell ref="H5:H6"/>
    <mergeCell ref="I5:I6"/>
    <mergeCell ref="J5:J6"/>
    <mergeCell ref="B17:C17"/>
    <mergeCell ref="B5:B6"/>
    <mergeCell ref="C5:C6"/>
    <mergeCell ref="D5:D6"/>
    <mergeCell ref="E5:E6"/>
    <mergeCell ref="F5:F6"/>
    <mergeCell ref="G5:G6"/>
  </mergeCells>
  <hyperlinks>
    <hyperlink ref="A1" location="Indhold!B88" display="Skema EU CCR4 — IRB-metoden — modpartskreditrisikoeksponeringer efter eksponeringsklasse og PD-skala" xr:uid="{DF268006-509E-4518-8A62-1B495EB0EFA5}"/>
  </hyperlinks>
  <pageMargins left="0.70866141732283472" right="0.70866141732283472" top="0.74803149606299213" bottom="0.74803149606299213" header="0.31496062992125984" footer="0.31496062992125984"/>
  <pageSetup paperSize="9" scale="95" fitToWidth="0" fitToHeight="0" orientation="landscape" r:id="rId1"/>
  <headerFooter>
    <oddHeader>&amp;CDA
Bilag XXV</oddHead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848B1-FE79-4B65-AE4E-5068966D1602}">
  <sheetPr>
    <tabColor rgb="FFFF0000"/>
    <pageSetUpPr fitToPage="1"/>
  </sheetPr>
  <dimension ref="A1:C15"/>
  <sheetViews>
    <sheetView showGridLines="0" zoomScaleNormal="100" workbookViewId="0"/>
  </sheetViews>
  <sheetFormatPr defaultColWidth="9.140625" defaultRowHeight="15" x14ac:dyDescent="0.25"/>
  <cols>
    <col min="1" max="1" width="7.7109375" customWidth="1"/>
    <col min="2" max="2" width="55" customWidth="1"/>
    <col min="3" max="3" width="14.42578125" customWidth="1"/>
  </cols>
  <sheetData>
    <row r="1" spans="1:3" x14ac:dyDescent="0.25">
      <c r="A1" s="866" t="s">
        <v>964</v>
      </c>
    </row>
    <row r="2" spans="1:3" ht="15.75" x14ac:dyDescent="0.25">
      <c r="A2" s="310" t="s">
        <v>902</v>
      </c>
    </row>
    <row r="3" spans="1:3" x14ac:dyDescent="0.25">
      <c r="A3" s="262"/>
      <c r="B3" s="262"/>
      <c r="C3" s="330"/>
    </row>
    <row r="4" spans="1:3" ht="20.100000000000001" customHeight="1" x14ac:dyDescent="0.25">
      <c r="A4" s="331"/>
      <c r="B4" s="331"/>
      <c r="C4" s="314" t="s">
        <v>103</v>
      </c>
    </row>
    <row r="5" spans="1:3" ht="25.5" x14ac:dyDescent="0.25">
      <c r="A5" s="331"/>
      <c r="B5" s="332"/>
      <c r="C5" s="314" t="s">
        <v>90</v>
      </c>
    </row>
    <row r="6" spans="1:3" ht="25.5" x14ac:dyDescent="0.25">
      <c r="A6" s="333">
        <v>1</v>
      </c>
      <c r="B6" s="320" t="s">
        <v>965</v>
      </c>
      <c r="C6" s="322">
        <v>0</v>
      </c>
    </row>
    <row r="7" spans="1:3" ht="20.100000000000001" customHeight="1" x14ac:dyDescent="0.25">
      <c r="A7" s="314">
        <v>2</v>
      </c>
      <c r="B7" s="316" t="s">
        <v>966</v>
      </c>
      <c r="C7" s="322">
        <v>0</v>
      </c>
    </row>
    <row r="8" spans="1:3" ht="20.100000000000001" customHeight="1" x14ac:dyDescent="0.25">
      <c r="A8" s="314">
        <v>3</v>
      </c>
      <c r="B8" s="316" t="s">
        <v>967</v>
      </c>
      <c r="C8" s="322">
        <v>0</v>
      </c>
    </row>
    <row r="9" spans="1:3" ht="20.100000000000001" customHeight="1" x14ac:dyDescent="0.25">
      <c r="A9" s="314">
        <v>4</v>
      </c>
      <c r="B9" s="316" t="s">
        <v>968</v>
      </c>
      <c r="C9" s="322">
        <v>0</v>
      </c>
    </row>
    <row r="10" spans="1:3" ht="20.100000000000001" customHeight="1" x14ac:dyDescent="0.25">
      <c r="A10" s="314">
        <v>5</v>
      </c>
      <c r="B10" s="316" t="s">
        <v>969</v>
      </c>
      <c r="C10" s="322">
        <v>0</v>
      </c>
    </row>
    <row r="11" spans="1:3" ht="20.100000000000001" customHeight="1" x14ac:dyDescent="0.25">
      <c r="A11" s="314">
        <v>6</v>
      </c>
      <c r="B11" s="316" t="s">
        <v>970</v>
      </c>
      <c r="C11" s="322">
        <v>0</v>
      </c>
    </row>
    <row r="12" spans="1:3" ht="20.100000000000001" customHeight="1" x14ac:dyDescent="0.25">
      <c r="A12" s="314">
        <v>7</v>
      </c>
      <c r="B12" s="316" t="s">
        <v>971</v>
      </c>
      <c r="C12" s="322">
        <v>0</v>
      </c>
    </row>
    <row r="13" spans="1:3" ht="20.100000000000001" customHeight="1" x14ac:dyDescent="0.25">
      <c r="A13" s="314">
        <v>8</v>
      </c>
      <c r="B13" s="316" t="s">
        <v>972</v>
      </c>
      <c r="C13" s="322">
        <v>0</v>
      </c>
    </row>
    <row r="14" spans="1:3" ht="25.5" x14ac:dyDescent="0.25">
      <c r="A14" s="333">
        <v>9</v>
      </c>
      <c r="B14" s="320" t="s">
        <v>973</v>
      </c>
      <c r="C14" s="322">
        <v>0</v>
      </c>
    </row>
    <row r="15" spans="1:3" x14ac:dyDescent="0.25">
      <c r="A15" s="1"/>
      <c r="B15" s="1"/>
      <c r="C15" s="1"/>
    </row>
  </sheetData>
  <hyperlinks>
    <hyperlink ref="A1" location="Indhold!B89" display="Skema EU CCR7 - RWEA-flowtabeller for markedsrisikoeksponeringer i henhold til IMM" xr:uid="{B0822707-22CF-4460-AAE8-3B8B90DC9F55}"/>
  </hyperlinks>
  <pageMargins left="0.70866141732283472" right="0.70866141732283472" top="0.74803149606299213" bottom="0.74803149606299213" header="0.31496062992125984" footer="0.31496062992125984"/>
  <pageSetup paperSize="9" orientation="landscape" r:id="rId1"/>
  <headerFooter>
    <oddHeader>&amp;CDA
Bilag XXV</oddHeader>
    <oddFooter>&amp;C&amp;P</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BDA82-CD43-40DF-B564-C572A3AB5BC2}">
  <sheetPr>
    <tabColor rgb="FFFF0000"/>
    <pageSetUpPr fitToPage="1"/>
  </sheetPr>
  <dimension ref="A1:P19"/>
  <sheetViews>
    <sheetView showGridLines="0" zoomScaleNormal="100" workbookViewId="0"/>
  </sheetViews>
  <sheetFormatPr defaultColWidth="11.42578125" defaultRowHeight="15" x14ac:dyDescent="0.25"/>
  <cols>
    <col min="1" max="1" width="5.5703125" style="39" customWidth="1"/>
    <col min="2" max="2" width="65" customWidth="1"/>
    <col min="3" max="3" width="14.5703125" customWidth="1"/>
    <col min="4" max="4" width="14.7109375" customWidth="1"/>
  </cols>
  <sheetData>
    <row r="1" spans="1:16" ht="26.25" customHeight="1" x14ac:dyDescent="0.3">
      <c r="A1" s="866" t="s">
        <v>1053</v>
      </c>
      <c r="B1" s="416"/>
      <c r="C1" s="416"/>
      <c r="D1" s="416"/>
      <c r="E1" s="416"/>
      <c r="F1" s="416"/>
      <c r="G1" s="416"/>
      <c r="H1" s="416"/>
      <c r="I1" s="416"/>
      <c r="J1" s="416"/>
      <c r="K1" s="416"/>
      <c r="L1" s="416"/>
      <c r="M1" s="416"/>
      <c r="N1" s="416"/>
      <c r="O1" s="416"/>
      <c r="P1" s="416"/>
    </row>
    <row r="3" spans="1:16" x14ac:dyDescent="0.25">
      <c r="A3" s="1342"/>
      <c r="B3" s="1343"/>
      <c r="C3" s="354" t="s">
        <v>103</v>
      </c>
      <c r="D3" s="354" t="s">
        <v>102</v>
      </c>
    </row>
    <row r="4" spans="1:16" ht="38.25" x14ac:dyDescent="0.25">
      <c r="A4" s="1344"/>
      <c r="B4" s="1345"/>
      <c r="C4" s="354" t="s">
        <v>1043</v>
      </c>
      <c r="D4" s="354" t="s">
        <v>1279</v>
      </c>
    </row>
    <row r="5" spans="1:16" ht="21.75" customHeight="1" x14ac:dyDescent="0.25">
      <c r="A5" s="355">
        <v>1</v>
      </c>
      <c r="B5" s="356" t="s">
        <v>1054</v>
      </c>
      <c r="C5" s="357">
        <v>0</v>
      </c>
      <c r="D5" s="357">
        <v>0</v>
      </c>
    </row>
    <row r="6" spans="1:16" ht="27" customHeight="1" x14ac:dyDescent="0.25">
      <c r="A6" s="354" t="s">
        <v>1055</v>
      </c>
      <c r="B6" s="358" t="s">
        <v>1056</v>
      </c>
      <c r="C6" s="359"/>
      <c r="D6" s="357">
        <v>0</v>
      </c>
    </row>
    <row r="7" spans="1:16" ht="42.75" customHeight="1" x14ac:dyDescent="0.25">
      <c r="A7" s="354" t="s">
        <v>1057</v>
      </c>
      <c r="B7" s="360" t="s">
        <v>1058</v>
      </c>
      <c r="C7" s="359"/>
      <c r="D7" s="357">
        <v>0</v>
      </c>
    </row>
    <row r="8" spans="1:16" ht="21" customHeight="1" x14ac:dyDescent="0.25">
      <c r="A8" s="355">
        <v>2</v>
      </c>
      <c r="B8" s="356" t="s">
        <v>1059</v>
      </c>
      <c r="C8" s="357">
        <v>0</v>
      </c>
      <c r="D8" s="357">
        <v>0</v>
      </c>
    </row>
    <row r="9" spans="1:16" ht="32.25" customHeight="1" x14ac:dyDescent="0.25">
      <c r="A9" s="354" t="s">
        <v>1055</v>
      </c>
      <c r="B9" s="358" t="s">
        <v>1060</v>
      </c>
      <c r="C9" s="359"/>
      <c r="D9" s="357">
        <v>0</v>
      </c>
    </row>
    <row r="10" spans="1:16" ht="48.75" customHeight="1" x14ac:dyDescent="0.25">
      <c r="A10" s="354" t="s">
        <v>1057</v>
      </c>
      <c r="B10" s="360" t="s">
        <v>1061</v>
      </c>
      <c r="C10" s="359"/>
      <c r="D10" s="357">
        <v>0</v>
      </c>
    </row>
    <row r="11" spans="1:16" ht="22.5" customHeight="1" x14ac:dyDescent="0.25">
      <c r="A11" s="355">
        <v>3</v>
      </c>
      <c r="B11" s="356" t="s">
        <v>1062</v>
      </c>
      <c r="C11" s="357">
        <v>0</v>
      </c>
      <c r="D11" s="357">
        <v>0</v>
      </c>
    </row>
    <row r="12" spans="1:16" ht="53.25" customHeight="1" x14ac:dyDescent="0.25">
      <c r="A12" s="354" t="s">
        <v>1055</v>
      </c>
      <c r="B12" s="360" t="s">
        <v>1063</v>
      </c>
      <c r="C12" s="359"/>
      <c r="D12" s="357">
        <v>0</v>
      </c>
    </row>
    <row r="13" spans="1:16" ht="24" customHeight="1" x14ac:dyDescent="0.25">
      <c r="A13" s="354" t="s">
        <v>1057</v>
      </c>
      <c r="B13" s="358" t="s">
        <v>1064</v>
      </c>
      <c r="C13" s="359"/>
      <c r="D13" s="357">
        <v>0</v>
      </c>
    </row>
    <row r="14" spans="1:16" ht="26.25" customHeight="1" x14ac:dyDescent="0.25">
      <c r="A14" s="355">
        <v>4</v>
      </c>
      <c r="B14" s="358" t="s">
        <v>1065</v>
      </c>
      <c r="C14" s="357">
        <v>0</v>
      </c>
      <c r="D14" s="357">
        <v>0</v>
      </c>
    </row>
    <row r="15" spans="1:16" ht="39.75" customHeight="1" x14ac:dyDescent="0.25">
      <c r="A15" s="354" t="s">
        <v>1055</v>
      </c>
      <c r="B15" s="360" t="s">
        <v>1066</v>
      </c>
      <c r="C15" s="359"/>
      <c r="D15" s="357">
        <v>0</v>
      </c>
    </row>
    <row r="16" spans="1:16" ht="31.5" customHeight="1" x14ac:dyDescent="0.25">
      <c r="A16" s="354" t="s">
        <v>1057</v>
      </c>
      <c r="B16" s="360" t="s">
        <v>1067</v>
      </c>
      <c r="C16" s="359"/>
      <c r="D16" s="357">
        <v>0</v>
      </c>
    </row>
    <row r="17" spans="1:4" ht="52.5" customHeight="1" x14ac:dyDescent="0.25">
      <c r="A17" s="354" t="s">
        <v>1068</v>
      </c>
      <c r="B17" s="361" t="s">
        <v>1069</v>
      </c>
      <c r="C17" s="359"/>
      <c r="D17" s="357">
        <v>0</v>
      </c>
    </row>
    <row r="18" spans="1:4" x14ac:dyDescent="0.25">
      <c r="A18" s="355">
        <v>5</v>
      </c>
      <c r="B18" s="358" t="s">
        <v>1070</v>
      </c>
      <c r="C18" s="357">
        <v>0</v>
      </c>
      <c r="D18" s="357">
        <v>0</v>
      </c>
    </row>
    <row r="19" spans="1:4" x14ac:dyDescent="0.25">
      <c r="A19" s="355">
        <v>6</v>
      </c>
      <c r="B19" s="356" t="s">
        <v>0</v>
      </c>
      <c r="C19" s="357">
        <v>0</v>
      </c>
      <c r="D19" s="357">
        <v>0</v>
      </c>
    </row>
  </sheetData>
  <mergeCells count="2">
    <mergeCell ref="A3:B3"/>
    <mergeCell ref="A4:B4"/>
  </mergeCells>
  <hyperlinks>
    <hyperlink ref="A1" location="Indhold!B90" display="Skema EU MR2-A - Markedsrisiko i henhold til metoden med interne modeller (IMA)" xr:uid="{FE694E96-F3D8-4545-82D0-3DBBB9BBA685}"/>
  </hyperlinks>
  <pageMargins left="0.70866141732283472" right="0.70866141732283472" top="0.86614173228346458" bottom="0.74803149606299213" header="0.31496062992125984" footer="0.31496062992125984"/>
  <pageSetup paperSize="9" fitToHeight="0" orientation="landscape" r:id="rId1"/>
  <headerFooter>
    <oddHeader>&amp;CDA
Bilag XXIX</oddHeader>
    <oddFooter>&amp;C&amp;P</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222A5-90CD-45E5-BBE1-AFB45E4A81DB}">
  <sheetPr>
    <tabColor rgb="FFFF0000"/>
    <pageSetUpPr fitToPage="1"/>
  </sheetPr>
  <dimension ref="A1:P17"/>
  <sheetViews>
    <sheetView showGridLines="0" zoomScaleNormal="100" workbookViewId="0"/>
  </sheetViews>
  <sheetFormatPr defaultColWidth="11.42578125" defaultRowHeight="15" x14ac:dyDescent="0.25"/>
  <cols>
    <col min="1" max="1" width="3.5703125" customWidth="1"/>
    <col min="2" max="2" width="50.140625" customWidth="1"/>
    <col min="6" max="6" width="15.28515625" customWidth="1"/>
    <col min="8" max="9" width="14.28515625" customWidth="1"/>
  </cols>
  <sheetData>
    <row r="1" spans="1:16" ht="15.75" customHeight="1" x14ac:dyDescent="0.3">
      <c r="A1" s="866" t="s">
        <v>1071</v>
      </c>
      <c r="B1" s="416"/>
      <c r="C1" s="416"/>
      <c r="D1" s="416"/>
      <c r="E1" s="416"/>
      <c r="F1" s="416"/>
      <c r="G1" s="416"/>
      <c r="H1" s="416"/>
      <c r="I1" s="416"/>
      <c r="J1" s="416"/>
      <c r="K1" s="416"/>
      <c r="L1" s="416"/>
      <c r="M1" s="416"/>
      <c r="N1" s="416"/>
      <c r="O1" s="416"/>
      <c r="P1" s="416"/>
    </row>
    <row r="2" spans="1:16" ht="15.75" customHeight="1" x14ac:dyDescent="0.25">
      <c r="A2" s="362"/>
      <c r="B2" s="362"/>
      <c r="C2" s="362"/>
      <c r="D2" s="362"/>
      <c r="E2" s="362"/>
      <c r="F2" s="362"/>
    </row>
    <row r="4" spans="1:16" x14ac:dyDescent="0.25">
      <c r="A4" s="1346"/>
      <c r="B4" s="1347"/>
      <c r="C4" s="312" t="s">
        <v>103</v>
      </c>
      <c r="D4" s="312" t="s">
        <v>102</v>
      </c>
      <c r="E4" s="312" t="s">
        <v>97</v>
      </c>
      <c r="F4" s="312" t="s">
        <v>96</v>
      </c>
      <c r="G4" s="354" t="s">
        <v>95</v>
      </c>
      <c r="H4" s="312" t="s">
        <v>111</v>
      </c>
      <c r="I4" s="312" t="s">
        <v>112</v>
      </c>
    </row>
    <row r="5" spans="1:16" ht="38.25" x14ac:dyDescent="0.25">
      <c r="A5" s="1348"/>
      <c r="B5" s="1349"/>
      <c r="C5" s="312" t="s">
        <v>1072</v>
      </c>
      <c r="D5" s="312" t="s">
        <v>1073</v>
      </c>
      <c r="E5" s="312" t="s">
        <v>1074</v>
      </c>
      <c r="F5" s="312" t="s">
        <v>1075</v>
      </c>
      <c r="G5" s="354" t="s">
        <v>972</v>
      </c>
      <c r="H5" s="312" t="s">
        <v>1076</v>
      </c>
      <c r="I5" s="312" t="s">
        <v>1245</v>
      </c>
    </row>
    <row r="6" spans="1:16" ht="25.5" x14ac:dyDescent="0.25">
      <c r="A6" s="317">
        <v>1</v>
      </c>
      <c r="B6" s="352" t="s">
        <v>1077</v>
      </c>
      <c r="C6" s="46">
        <v>0</v>
      </c>
      <c r="D6" s="46">
        <v>0</v>
      </c>
      <c r="E6" s="46">
        <v>0</v>
      </c>
      <c r="F6" s="46">
        <v>0</v>
      </c>
      <c r="G6" s="46">
        <v>0</v>
      </c>
      <c r="H6" s="46">
        <v>0</v>
      </c>
      <c r="I6" s="46">
        <v>0</v>
      </c>
    </row>
    <row r="7" spans="1:16" ht="23.25" customHeight="1" x14ac:dyDescent="0.25">
      <c r="A7" s="363" t="s">
        <v>1078</v>
      </c>
      <c r="B7" s="364" t="s">
        <v>1079</v>
      </c>
      <c r="C7" s="46">
        <v>0</v>
      </c>
      <c r="D7" s="46">
        <v>0</v>
      </c>
      <c r="E7" s="46">
        <v>0</v>
      </c>
      <c r="F7" s="46">
        <v>0</v>
      </c>
      <c r="G7" s="46">
        <v>0</v>
      </c>
      <c r="H7" s="46">
        <v>0</v>
      </c>
      <c r="I7" s="46">
        <v>0</v>
      </c>
    </row>
    <row r="8" spans="1:16" ht="25.5" x14ac:dyDescent="0.25">
      <c r="A8" s="363" t="s">
        <v>1080</v>
      </c>
      <c r="B8" s="364" t="s">
        <v>1081</v>
      </c>
      <c r="C8" s="46">
        <v>0</v>
      </c>
      <c r="D8" s="46">
        <v>0</v>
      </c>
      <c r="E8" s="46">
        <v>0</v>
      </c>
      <c r="F8" s="46">
        <v>0</v>
      </c>
      <c r="G8" s="46">
        <v>0</v>
      </c>
      <c r="H8" s="46">
        <v>0</v>
      </c>
      <c r="I8" s="46">
        <v>0</v>
      </c>
    </row>
    <row r="9" spans="1:16" x14ac:dyDescent="0.25">
      <c r="A9" s="313">
        <v>2</v>
      </c>
      <c r="B9" s="313" t="s">
        <v>1082</v>
      </c>
      <c r="C9" s="46">
        <v>0</v>
      </c>
      <c r="D9" s="46">
        <v>0</v>
      </c>
      <c r="E9" s="46">
        <v>0</v>
      </c>
      <c r="F9" s="46">
        <v>0</v>
      </c>
      <c r="G9" s="46">
        <v>0</v>
      </c>
      <c r="H9" s="46">
        <v>0</v>
      </c>
      <c r="I9" s="46">
        <v>0</v>
      </c>
    </row>
    <row r="10" spans="1:16" x14ac:dyDescent="0.25">
      <c r="A10" s="313">
        <v>3</v>
      </c>
      <c r="B10" s="313" t="s">
        <v>1083</v>
      </c>
      <c r="C10" s="46">
        <v>0</v>
      </c>
      <c r="D10" s="46">
        <v>0</v>
      </c>
      <c r="E10" s="46">
        <v>0</v>
      </c>
      <c r="F10" s="46">
        <v>0</v>
      </c>
      <c r="G10" s="46">
        <v>0</v>
      </c>
      <c r="H10" s="46">
        <v>0</v>
      </c>
      <c r="I10" s="46">
        <v>0</v>
      </c>
    </row>
    <row r="11" spans="1:16" x14ac:dyDescent="0.25">
      <c r="A11" s="313">
        <v>4</v>
      </c>
      <c r="B11" s="313" t="s">
        <v>1084</v>
      </c>
      <c r="C11" s="46">
        <v>0</v>
      </c>
      <c r="D11" s="46">
        <v>0</v>
      </c>
      <c r="E11" s="46">
        <v>0</v>
      </c>
      <c r="F11" s="46">
        <v>0</v>
      </c>
      <c r="G11" s="46">
        <v>0</v>
      </c>
      <c r="H11" s="46">
        <v>0</v>
      </c>
      <c r="I11" s="46">
        <v>0</v>
      </c>
    </row>
    <row r="12" spans="1:16" x14ac:dyDescent="0.25">
      <c r="A12" s="365">
        <v>5</v>
      </c>
      <c r="B12" s="365" t="s">
        <v>1085</v>
      </c>
      <c r="C12" s="46">
        <v>0</v>
      </c>
      <c r="D12" s="46">
        <v>0</v>
      </c>
      <c r="E12" s="46">
        <v>0</v>
      </c>
      <c r="F12" s="46">
        <v>0</v>
      </c>
      <c r="G12" s="46">
        <v>0</v>
      </c>
      <c r="H12" s="46">
        <v>0</v>
      </c>
      <c r="I12" s="46">
        <v>0</v>
      </c>
    </row>
    <row r="13" spans="1:16" x14ac:dyDescent="0.25">
      <c r="A13" s="313">
        <v>6</v>
      </c>
      <c r="B13" s="313" t="s">
        <v>1086</v>
      </c>
      <c r="C13" s="46">
        <v>0</v>
      </c>
      <c r="D13" s="46">
        <v>0</v>
      </c>
      <c r="E13" s="46">
        <v>0</v>
      </c>
      <c r="F13" s="46">
        <v>0</v>
      </c>
      <c r="G13" s="46">
        <v>0</v>
      </c>
      <c r="H13" s="46">
        <v>0</v>
      </c>
      <c r="I13" s="46">
        <v>0</v>
      </c>
    </row>
    <row r="14" spans="1:16" x14ac:dyDescent="0.25">
      <c r="A14" s="313">
        <v>7</v>
      </c>
      <c r="B14" s="313" t="s">
        <v>1070</v>
      </c>
      <c r="C14" s="46">
        <v>0</v>
      </c>
      <c r="D14" s="46">
        <v>0</v>
      </c>
      <c r="E14" s="46">
        <v>0</v>
      </c>
      <c r="F14" s="46">
        <v>0</v>
      </c>
      <c r="G14" s="46">
        <v>0</v>
      </c>
      <c r="H14" s="46">
        <v>0</v>
      </c>
      <c r="I14" s="46">
        <v>0</v>
      </c>
    </row>
    <row r="15" spans="1:16" ht="25.5" x14ac:dyDescent="0.25">
      <c r="A15" s="363" t="s">
        <v>1087</v>
      </c>
      <c r="B15" s="364" t="s">
        <v>1088</v>
      </c>
      <c r="C15" s="46">
        <v>0</v>
      </c>
      <c r="D15" s="46">
        <v>0</v>
      </c>
      <c r="E15" s="46">
        <v>0</v>
      </c>
      <c r="F15" s="46">
        <v>0</v>
      </c>
      <c r="G15" s="46">
        <v>0</v>
      </c>
      <c r="H15" s="46">
        <v>0</v>
      </c>
      <c r="I15" s="46">
        <v>0</v>
      </c>
    </row>
    <row r="16" spans="1:16" x14ac:dyDescent="0.25">
      <c r="A16" s="363" t="s">
        <v>1089</v>
      </c>
      <c r="B16" s="364" t="s">
        <v>1079</v>
      </c>
      <c r="C16" s="46">
        <v>0</v>
      </c>
      <c r="D16" s="46">
        <v>0</v>
      </c>
      <c r="E16" s="46">
        <v>0</v>
      </c>
      <c r="F16" s="46">
        <v>0</v>
      </c>
      <c r="G16" s="46">
        <v>0</v>
      </c>
      <c r="H16" s="46">
        <v>0</v>
      </c>
      <c r="I16" s="46">
        <v>0</v>
      </c>
    </row>
    <row r="17" spans="1:9" ht="25.5" x14ac:dyDescent="0.25">
      <c r="A17" s="317">
        <v>8</v>
      </c>
      <c r="B17" s="352" t="s">
        <v>1090</v>
      </c>
      <c r="C17" s="46">
        <v>0</v>
      </c>
      <c r="D17" s="46">
        <v>0</v>
      </c>
      <c r="E17" s="46">
        <v>0</v>
      </c>
      <c r="F17" s="46">
        <v>0</v>
      </c>
      <c r="G17" s="46">
        <v>0</v>
      </c>
      <c r="H17" s="46">
        <v>0</v>
      </c>
      <c r="I17" s="46">
        <v>0</v>
      </c>
    </row>
  </sheetData>
  <mergeCells count="2">
    <mergeCell ref="A4:B4"/>
    <mergeCell ref="A5:B5"/>
  </mergeCells>
  <hyperlinks>
    <hyperlink ref="A1" location="Indhold!B91" display="Skema EU MR2-B - RWEA-flowtabeller for markedsrisikoeksponeringer i henhold til IMA" xr:uid="{4D85A020-F71F-42F4-91B3-15F2C2EEEBE5}"/>
  </hyperlinks>
  <pageMargins left="0.70866141732283472" right="0.70866141732283472" top="0.74803149606299213" bottom="0.74803149606299213" header="0.31496062992125984" footer="0.31496062992125984"/>
  <pageSetup paperSize="9" scale="95" orientation="landscape" r:id="rId1"/>
  <headerFooter>
    <oddHeader>&amp;CDA
Bilag XXIX</oddHeader>
    <oddFooter>&amp;C&amp;P</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E7398-442B-42ED-BDCF-99E26564EAB0}">
  <sheetPr>
    <tabColor rgb="FFFF0000"/>
    <pageSetUpPr fitToPage="1"/>
  </sheetPr>
  <dimension ref="A1:P23"/>
  <sheetViews>
    <sheetView showGridLines="0" zoomScaleNormal="100" workbookViewId="0"/>
  </sheetViews>
  <sheetFormatPr defaultColWidth="11.42578125" defaultRowHeight="15" x14ac:dyDescent="0.25"/>
  <cols>
    <col min="1" max="1" width="6.85546875" style="85" customWidth="1"/>
    <col min="2" max="2" width="51.5703125" customWidth="1"/>
    <col min="3" max="3" width="21.7109375" customWidth="1"/>
  </cols>
  <sheetData>
    <row r="1" spans="1:16" ht="18.75" x14ac:dyDescent="0.3">
      <c r="A1" s="866" t="s">
        <v>1091</v>
      </c>
      <c r="B1" s="416"/>
      <c r="C1" s="416"/>
      <c r="D1" s="416"/>
      <c r="E1" s="416"/>
      <c r="F1" s="416"/>
      <c r="G1" s="416"/>
      <c r="H1" s="416"/>
      <c r="I1" s="416"/>
      <c r="J1" s="416"/>
      <c r="K1" s="416"/>
      <c r="L1" s="416"/>
      <c r="M1" s="416"/>
      <c r="N1" s="416"/>
      <c r="O1" s="416"/>
      <c r="P1" s="416"/>
    </row>
    <row r="3" spans="1:16" x14ac:dyDescent="0.25">
      <c r="A3" s="1348"/>
      <c r="B3" s="1349"/>
      <c r="C3" s="312" t="s">
        <v>103</v>
      </c>
    </row>
    <row r="4" spans="1:16" x14ac:dyDescent="0.25">
      <c r="A4" s="1350" t="s">
        <v>1092</v>
      </c>
      <c r="B4" s="1350"/>
      <c r="C4" s="1350"/>
    </row>
    <row r="5" spans="1:16" x14ac:dyDescent="0.25">
      <c r="A5" s="312">
        <v>1</v>
      </c>
      <c r="B5" s="313" t="s">
        <v>1093</v>
      </c>
      <c r="C5" s="46">
        <v>0</v>
      </c>
    </row>
    <row r="6" spans="1:16" x14ac:dyDescent="0.25">
      <c r="A6" s="312">
        <v>2</v>
      </c>
      <c r="B6" s="313" t="s">
        <v>1094</v>
      </c>
      <c r="C6" s="46">
        <v>0</v>
      </c>
    </row>
    <row r="7" spans="1:16" x14ac:dyDescent="0.25">
      <c r="A7" s="312">
        <v>3</v>
      </c>
      <c r="B7" s="313" t="s">
        <v>1095</v>
      </c>
      <c r="C7" s="46">
        <v>0</v>
      </c>
    </row>
    <row r="8" spans="1:16" x14ac:dyDescent="0.25">
      <c r="A8" s="312">
        <v>4</v>
      </c>
      <c r="B8" s="313" t="s">
        <v>1096</v>
      </c>
      <c r="C8" s="46">
        <v>0</v>
      </c>
    </row>
    <row r="9" spans="1:16" x14ac:dyDescent="0.25">
      <c r="A9" s="1350" t="s">
        <v>1097</v>
      </c>
      <c r="B9" s="1350"/>
      <c r="C9" s="1350"/>
    </row>
    <row r="10" spans="1:16" x14ac:dyDescent="0.25">
      <c r="A10" s="312">
        <v>5</v>
      </c>
      <c r="B10" s="313" t="s">
        <v>1093</v>
      </c>
      <c r="C10" s="46">
        <v>0</v>
      </c>
    </row>
    <row r="11" spans="1:16" x14ac:dyDescent="0.25">
      <c r="A11" s="312">
        <v>6</v>
      </c>
      <c r="B11" s="313" t="s">
        <v>1094</v>
      </c>
      <c r="C11" s="46">
        <v>0</v>
      </c>
    </row>
    <row r="12" spans="1:16" x14ac:dyDescent="0.25">
      <c r="A12" s="312">
        <v>7</v>
      </c>
      <c r="B12" s="313" t="s">
        <v>1095</v>
      </c>
      <c r="C12" s="46">
        <v>0</v>
      </c>
    </row>
    <row r="13" spans="1:16" x14ac:dyDescent="0.25">
      <c r="A13" s="312">
        <v>8</v>
      </c>
      <c r="B13" s="313" t="s">
        <v>1096</v>
      </c>
      <c r="C13" s="46">
        <v>0</v>
      </c>
    </row>
    <row r="14" spans="1:16" x14ac:dyDescent="0.25">
      <c r="A14" s="1350" t="s">
        <v>1098</v>
      </c>
      <c r="B14" s="1350"/>
      <c r="C14" s="1350"/>
    </row>
    <row r="15" spans="1:16" x14ac:dyDescent="0.25">
      <c r="A15" s="312">
        <v>9</v>
      </c>
      <c r="B15" s="313" t="s">
        <v>1093</v>
      </c>
      <c r="C15" s="46">
        <v>0</v>
      </c>
    </row>
    <row r="16" spans="1:16" x14ac:dyDescent="0.25">
      <c r="A16" s="312">
        <v>10</v>
      </c>
      <c r="B16" s="313" t="s">
        <v>1094</v>
      </c>
      <c r="C16" s="46">
        <v>0</v>
      </c>
    </row>
    <row r="17" spans="1:3" x14ac:dyDescent="0.25">
      <c r="A17" s="312">
        <v>11</v>
      </c>
      <c r="B17" s="313" t="s">
        <v>1095</v>
      </c>
      <c r="C17" s="46">
        <v>0</v>
      </c>
    </row>
    <row r="18" spans="1:3" x14ac:dyDescent="0.25">
      <c r="A18" s="312">
        <v>12</v>
      </c>
      <c r="B18" s="313" t="s">
        <v>1096</v>
      </c>
      <c r="C18" s="46">
        <v>0</v>
      </c>
    </row>
    <row r="19" spans="1:3" x14ac:dyDescent="0.25">
      <c r="A19" s="1350" t="s">
        <v>1099</v>
      </c>
      <c r="B19" s="1350"/>
      <c r="C19" s="1350"/>
    </row>
    <row r="20" spans="1:3" x14ac:dyDescent="0.25">
      <c r="A20" s="312">
        <v>13</v>
      </c>
      <c r="B20" s="313" t="s">
        <v>1093</v>
      </c>
      <c r="C20" s="46">
        <v>0</v>
      </c>
    </row>
    <row r="21" spans="1:3" x14ac:dyDescent="0.25">
      <c r="A21" s="312">
        <v>14</v>
      </c>
      <c r="B21" s="313" t="s">
        <v>1094</v>
      </c>
      <c r="C21" s="46">
        <v>0</v>
      </c>
    </row>
    <row r="22" spans="1:3" x14ac:dyDescent="0.25">
      <c r="A22" s="312">
        <v>15</v>
      </c>
      <c r="B22" s="313" t="s">
        <v>1095</v>
      </c>
      <c r="C22" s="46">
        <v>0</v>
      </c>
    </row>
    <row r="23" spans="1:3" x14ac:dyDescent="0.25">
      <c r="A23" s="312">
        <v>16</v>
      </c>
      <c r="B23" s="313" t="s">
        <v>1096</v>
      </c>
      <c r="C23" s="46">
        <v>0</v>
      </c>
    </row>
  </sheetData>
  <mergeCells count="5">
    <mergeCell ref="A3:B3"/>
    <mergeCell ref="A4:C4"/>
    <mergeCell ref="A9:C9"/>
    <mergeCell ref="A14:C14"/>
    <mergeCell ref="A19:C19"/>
  </mergeCells>
  <hyperlinks>
    <hyperlink ref="A1" location="Indhold!B92" display="Skema EU MR3 - IMA-værdier for handelsporteføljer" xr:uid="{5FAE9893-877C-460B-8149-96FE5374B1E4}"/>
  </hyperlinks>
  <pageMargins left="0.70866141732283472" right="0.70866141732283472" top="0.74803149606299213" bottom="0.74803149606299213" header="0.31496062992125984" footer="0.31496062992125984"/>
  <pageSetup paperSize="9" orientation="landscape" r:id="rId1"/>
  <headerFooter>
    <oddHeader>&amp;CDA
Bilag XXIX</oddHeader>
    <oddFooter>&amp;C&amp;P</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C23D6-0578-41DA-83BF-33CC998166A9}">
  <sheetPr>
    <tabColor rgb="FFFF0000"/>
    <pageSetUpPr fitToPage="1"/>
  </sheetPr>
  <dimension ref="A1:P22"/>
  <sheetViews>
    <sheetView showGridLines="0" zoomScaleNormal="100" workbookViewId="0"/>
  </sheetViews>
  <sheetFormatPr defaultColWidth="11.42578125" defaultRowHeight="15" x14ac:dyDescent="0.25"/>
  <sheetData>
    <row r="1" spans="1:16" ht="18.75" x14ac:dyDescent="0.3">
      <c r="A1" s="866" t="s">
        <v>1100</v>
      </c>
      <c r="B1" s="416"/>
      <c r="C1" s="416"/>
      <c r="D1" s="416"/>
      <c r="E1" s="416"/>
      <c r="F1" s="416"/>
      <c r="G1" s="416"/>
      <c r="H1" s="416"/>
      <c r="I1" s="416"/>
      <c r="J1" s="416"/>
      <c r="K1" s="416"/>
      <c r="L1" s="416"/>
      <c r="M1" s="416"/>
      <c r="N1" s="416"/>
      <c r="O1" s="416"/>
      <c r="P1" s="416"/>
    </row>
    <row r="21" spans="1:8" ht="82.5" customHeight="1" x14ac:dyDescent="0.25">
      <c r="A21" s="1351" t="s">
        <v>1101</v>
      </c>
      <c r="B21" s="1351"/>
      <c r="C21" s="1351"/>
      <c r="D21" s="1351"/>
      <c r="E21" s="1351"/>
      <c r="F21" s="1351"/>
      <c r="G21" s="1351"/>
      <c r="H21" s="1351"/>
    </row>
    <row r="22" spans="1:8" ht="37.5" customHeight="1" x14ac:dyDescent="0.25">
      <c r="A22" s="1352" t="s">
        <v>1102</v>
      </c>
      <c r="B22" s="1352"/>
      <c r="C22" s="1352"/>
      <c r="D22" s="1352"/>
      <c r="E22" s="1352"/>
      <c r="F22" s="1352"/>
      <c r="G22" s="1352"/>
      <c r="H22" s="1352"/>
    </row>
  </sheetData>
  <mergeCells count="2">
    <mergeCell ref="A21:H21"/>
    <mergeCell ref="A22:H22"/>
  </mergeCells>
  <hyperlinks>
    <hyperlink ref="A1" location="Indhold!B93" display="Skema EU MR4 - Sammenligning af VaR-estimater med gevinster/tab" xr:uid="{2BBB5FE6-1655-4B1B-B69B-F9FABD14FF0D}"/>
  </hyperlinks>
  <pageMargins left="0.70866141732283472" right="0.70866141732283472" top="0.82677165354330717" bottom="0.74803149606299213" header="0.31496062992125984" footer="0.31496062992125984"/>
  <pageSetup paperSize="9" orientation="landscape" r:id="rId1"/>
  <headerFooter>
    <oddHeader>&amp;CDA
Bilag XXIX</oddHead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73</vt:i4>
      </vt:variant>
      <vt:variant>
        <vt:lpstr>Navngivne områder</vt:lpstr>
      </vt:variant>
      <vt:variant>
        <vt:i4>20</vt:i4>
      </vt:variant>
    </vt:vector>
  </HeadingPairs>
  <TitlesOfParts>
    <vt:vector size="93" baseType="lpstr">
      <vt:lpstr>Indledning</vt:lpstr>
      <vt:lpstr>Erklæring</vt:lpstr>
      <vt:lpstr>Indhold</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EU INS1</vt:lpstr>
      <vt:lpstr>EU INS2</vt:lpstr>
      <vt:lpstr>Skema EU PV1</vt:lpstr>
      <vt:lpstr>EU CCyB1</vt:lpstr>
      <vt:lpstr>Skema EU CR2a</vt:lpstr>
      <vt:lpstr>Skema EU CQ2</vt:lpstr>
      <vt:lpstr>Skema EU CQ4</vt:lpstr>
      <vt:lpstr>Skema EU CQ6</vt:lpstr>
      <vt:lpstr>Skema EU CQ8</vt:lpstr>
      <vt:lpstr>EU CR6</vt:lpstr>
      <vt:lpstr>EU CR6-A</vt:lpstr>
      <vt:lpstr>EU CR7</vt:lpstr>
      <vt:lpstr>EU CR7-A</vt:lpstr>
      <vt:lpstr>EU CR8</vt:lpstr>
      <vt:lpstr>EU CR9</vt:lpstr>
      <vt:lpstr>EU CR9.1</vt:lpstr>
      <vt:lpstr>EU CR10 </vt:lpstr>
      <vt:lpstr>Skema EU CCR4</vt:lpstr>
      <vt:lpstr>Skema EU CCR7</vt:lpstr>
      <vt:lpstr>EU MR2-A</vt:lpstr>
      <vt:lpstr>EU MR2-B</vt:lpstr>
      <vt:lpstr>EU MR3</vt:lpstr>
      <vt:lpstr>EU MR4</vt:lpstr>
      <vt:lpstr>'25'!_ftn1</vt:lpstr>
      <vt:lpstr>'25'!_ftnref1</vt:lpstr>
      <vt:lpstr>'3'!_Toc483499698</vt:lpstr>
      <vt:lpstr>Indledning!Print_Area</vt:lpstr>
      <vt:lpstr>'10'!Udskriftsområde</vt:lpstr>
      <vt:lpstr>'20'!Udskriftsområde</vt:lpstr>
      <vt:lpstr>'3'!Udskriftsområde</vt:lpstr>
      <vt:lpstr>'30'!Udskriftsområde</vt:lpstr>
      <vt:lpstr>'31'!Udskriftsområde</vt:lpstr>
      <vt:lpstr>'32'!Udskriftsområde</vt:lpstr>
      <vt:lpstr>'42'!Udskriftsområde</vt:lpstr>
      <vt:lpstr>'6'!Udskriftsområde</vt:lpstr>
      <vt:lpstr>'8'!Udskriftsområde</vt:lpstr>
      <vt:lpstr>'9'!Udskriftsområde</vt:lpstr>
      <vt:lpstr>'EU CR6-A'!Udskriftsområde</vt:lpstr>
      <vt:lpstr>'EU CR7'!Udskriftsområde</vt:lpstr>
      <vt:lpstr>'EU CR9'!Udskriftsområde</vt:lpstr>
      <vt:lpstr>'EU CR9.1'!Udskriftsområde</vt:lpstr>
      <vt:lpstr>'31'!Udskriftstitler</vt:lpstr>
      <vt:lpstr>'6'!Udskriftstitler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Kenneth K. Hansen</dc:creator>
  <cp:lastModifiedBy>Kenneth Hansen</cp:lastModifiedBy>
  <cp:lastPrinted>2022-02-09T13:51:41Z</cp:lastPrinted>
  <dcterms:created xsi:type="dcterms:W3CDTF">2022-02-09T07:27:06Z</dcterms:created>
  <dcterms:modified xsi:type="dcterms:W3CDTF">2025-02-12T09:27:10Z</dcterms:modified>
</cp:coreProperties>
</file>