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Stab\Administration\Økonomi\RISIKORAPPORT\2022\Regneark\"/>
    </mc:Choice>
  </mc:AlternateContent>
  <xr:revisionPtr revIDLastSave="0" documentId="13_ncr:1_{80F2084E-098B-4240-9BDC-ADC0D37E653E}" xr6:coauthVersionLast="47" xr6:coauthVersionMax="47" xr10:uidLastSave="{00000000-0000-0000-0000-000000000000}"/>
  <bookViews>
    <workbookView xWindow="28680" yWindow="-120" windowWidth="29040" windowHeight="16440" tabRatio="886" xr2:uid="{937A524D-0DA4-499C-B1B3-D2497D484FDA}"/>
  </bookViews>
  <sheets>
    <sheet name="Indledning" sheetId="70" r:id="rId1"/>
    <sheet name="Erklæring" sheetId="71" r:id="rId2"/>
    <sheet name="Indhold" sheetId="1" r:id="rId3"/>
    <sheet name="1" sheetId="2" r:id="rId4"/>
    <sheet name="2" sheetId="3" r:id="rId5"/>
    <sheet name="3" sheetId="6" r:id="rId6"/>
    <sheet name="4" sheetId="7" r:id="rId7"/>
    <sheet name="5" sheetId="8" r:id="rId8"/>
    <sheet name="6" sheetId="10" r:id="rId9"/>
    <sheet name="7" sheetId="11" r:id="rId10"/>
    <sheet name="8" sheetId="14" r:id="rId11"/>
    <sheet name="9" sheetId="15" r:id="rId12"/>
    <sheet name="10" sheetId="16" r:id="rId13"/>
    <sheet name="11" sheetId="17" r:id="rId14"/>
    <sheet name="12" sheetId="18" r:id="rId15"/>
    <sheet name="13" sheetId="13" r:id="rId16"/>
    <sheet name="14" sheetId="19" r:id="rId17"/>
    <sheet name="15" sheetId="20" r:id="rId18"/>
    <sheet name="16" sheetId="21" r:id="rId19"/>
    <sheet name="17" sheetId="23" r:id="rId20"/>
    <sheet name="18" sheetId="25" r:id="rId21"/>
    <sheet name="19" sheetId="27" r:id="rId22"/>
    <sheet name="20" sheetId="31" r:id="rId23"/>
    <sheet name="21" sheetId="32" r:id="rId24"/>
    <sheet name="22" sheetId="33" r:id="rId25"/>
    <sheet name="23" sheetId="43" r:id="rId26"/>
    <sheet name="24" sheetId="44" r:id="rId27"/>
    <sheet name="25" sheetId="55" r:id="rId28"/>
    <sheet name="26" sheetId="60" r:id="rId29"/>
    <sheet name="27" sheetId="61" r:id="rId30"/>
    <sheet name="28" sheetId="65" r:id="rId31"/>
    <sheet name="29" sheetId="66" r:id="rId32"/>
    <sheet name="30" sheetId="29" r:id="rId33"/>
    <sheet name="31" sheetId="42" r:id="rId34"/>
    <sheet name="32" sheetId="46" r:id="rId35"/>
    <sheet name="33" sheetId="47" r:id="rId36"/>
    <sheet name="34" sheetId="49" r:id="rId37"/>
    <sheet name="35" sheetId="50" r:id="rId38"/>
    <sheet name="36" sheetId="51" r:id="rId39"/>
    <sheet name="37" sheetId="52" r:id="rId40"/>
    <sheet name="38" sheetId="53" r:id="rId41"/>
    <sheet name="39" sheetId="54" r:id="rId42"/>
    <sheet name="40" sheetId="62" r:id="rId43"/>
    <sheet name="41" sheetId="63" r:id="rId44"/>
    <sheet name="42" sheetId="64" r:id="rId45"/>
    <sheet name="43" sheetId="67" r:id="rId46"/>
    <sheet name="44" sheetId="68" r:id="rId47"/>
    <sheet name="EU INS1" sheetId="4" r:id="rId48"/>
    <sheet name="EU INS2" sheetId="5" r:id="rId49"/>
    <sheet name="Skema EU PV1" sheetId="9" r:id="rId50"/>
    <sheet name="EU CCyB1" sheetId="12" r:id="rId51"/>
    <sheet name="Skema EU CR2a" sheetId="22" r:id="rId52"/>
    <sheet name="Skema EU CQ2" sheetId="24" r:id="rId53"/>
    <sheet name="Skema EU CQ4" sheetId="26" r:id="rId54"/>
    <sheet name="Skema EU CQ6" sheetId="28" r:id="rId55"/>
    <sheet name="Skema EU CQ8" sheetId="30" r:id="rId56"/>
    <sheet name="EU CR6" sheetId="34" r:id="rId57"/>
    <sheet name="EU CR6-A" sheetId="35" r:id="rId58"/>
    <sheet name="EU CR7" sheetId="36" r:id="rId59"/>
    <sheet name="EU CR7-A" sheetId="37" r:id="rId60"/>
    <sheet name="EU CR8" sheetId="38" r:id="rId61"/>
    <sheet name="EU CR9" sheetId="39" r:id="rId62"/>
    <sheet name="EU CR9.1" sheetId="40" r:id="rId63"/>
    <sheet name="EU CR10 " sheetId="41" r:id="rId64"/>
    <sheet name="Skema EU CCR4" sheetId="45" r:id="rId65"/>
    <sheet name="Skema EU CCR7" sheetId="48" r:id="rId66"/>
    <sheet name="EU MR2-A" sheetId="56" r:id="rId67"/>
    <sheet name="EU MR2-B" sheetId="57" r:id="rId68"/>
    <sheet name="EU MR3" sheetId="58" r:id="rId69"/>
    <sheet name="EU MR4" sheetId="59" r:id="rId70"/>
  </sheets>
  <definedNames>
    <definedName name="_ftn1" localSheetId="27">'25'!$H$16</definedName>
    <definedName name="_ftnref1" localSheetId="27">'25'!$H$13</definedName>
    <definedName name="_Toc483499698" localSheetId="5">'3'!$B$2</definedName>
    <definedName name="_Toc483499734" localSheetId="68">'EU MR3'!#REF!</definedName>
    <definedName name="_Toc483499735" localSheetId="69">'EU MR4'!#REF!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int_Area" localSheetId="0">Indledning!$A$1:$G$22</definedName>
    <definedName name="_xlnm.Print_Area" localSheetId="12">'10'!$B$2:$D$18</definedName>
    <definedName name="_xlnm.Print_Area" localSheetId="22">'20'!$B$1:$K$19</definedName>
    <definedName name="_xlnm.Print_Area" localSheetId="5">'3'!$B$2:$J$40</definedName>
    <definedName name="_xlnm.Print_Area" localSheetId="41">'39'!$B$2:$F$20</definedName>
    <definedName name="_xlnm.Print_Area" localSheetId="8">'6'!$B$6:$E$127</definedName>
    <definedName name="_xlnm.Print_Area" localSheetId="10">'8'!$B$2:$D$21</definedName>
    <definedName name="_xlnm.Print_Area" localSheetId="11">'9'!$B$2:$E$73</definedName>
    <definedName name="_xlnm.Print_Area" localSheetId="57">'EU CR6-A'!$A$2:$J$24</definedName>
    <definedName name="_xlnm.Print_Area" localSheetId="58">'EU CR7'!$B$2:$H$27</definedName>
    <definedName name="_xlnm.Print_Area" localSheetId="61">'EU CR9'!$B$4:$J$51</definedName>
    <definedName name="_xlnm.Print_Area" localSheetId="62">'EU CR9.1'!$B$2:$I$30</definedName>
    <definedName name="_xlnm.Print_Titles" localSheetId="8">'6'!$6:$6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31" l="1"/>
  <c r="G13" i="27" l="1"/>
  <c r="G16" i="27"/>
  <c r="H28" i="27"/>
  <c r="G28" i="27"/>
  <c r="D28" i="27"/>
  <c r="H27" i="27"/>
  <c r="G27" i="27"/>
  <c r="F27" i="27"/>
  <c r="E27" i="27"/>
  <c r="D27" i="27"/>
  <c r="H26" i="27"/>
  <c r="G26" i="27"/>
  <c r="D26" i="27"/>
  <c r="H23" i="27"/>
  <c r="D23" i="27"/>
  <c r="G23" i="27"/>
  <c r="H22" i="27"/>
  <c r="G22" i="27"/>
  <c r="F22" i="27"/>
  <c r="E22" i="27"/>
  <c r="D22" i="27"/>
  <c r="H21" i="27"/>
  <c r="G21" i="27"/>
  <c r="F21" i="27"/>
  <c r="E21" i="27"/>
  <c r="D21" i="27"/>
  <c r="G20" i="27"/>
  <c r="D20" i="27"/>
  <c r="H19" i="27"/>
  <c r="G19" i="27"/>
  <c r="F19" i="27"/>
  <c r="E19" i="27"/>
  <c r="D19" i="27"/>
  <c r="H18" i="27"/>
  <c r="G18" i="27"/>
  <c r="F18" i="27"/>
  <c r="E18" i="27"/>
  <c r="D18" i="27"/>
  <c r="H17" i="27"/>
  <c r="G17" i="27"/>
  <c r="D17" i="27"/>
  <c r="H16" i="27"/>
  <c r="D16" i="27"/>
  <c r="H15" i="27"/>
  <c r="G15" i="27"/>
  <c r="F15" i="27"/>
  <c r="E15" i="27"/>
  <c r="D15" i="27"/>
  <c r="H14" i="27"/>
  <c r="G14" i="27"/>
  <c r="D14" i="27"/>
  <c r="H13" i="27"/>
  <c r="D13" i="27"/>
  <c r="H12" i="27"/>
  <c r="G12" i="27"/>
  <c r="F12" i="27"/>
  <c r="E12" i="27"/>
  <c r="D12" i="27"/>
  <c r="H10" i="27"/>
  <c r="G10" i="27"/>
  <c r="F10" i="27"/>
  <c r="E10" i="27"/>
  <c r="D10" i="27"/>
  <c r="G32" i="25"/>
  <c r="D32" i="25"/>
  <c r="G31" i="25"/>
  <c r="D31" i="25"/>
  <c r="D30" i="25"/>
  <c r="D29" i="25"/>
  <c r="D28" i="25"/>
  <c r="G26" i="25"/>
  <c r="D26" i="25"/>
  <c r="H18" i="25"/>
  <c r="O19" i="25"/>
  <c r="L19" i="25"/>
  <c r="K19" i="25"/>
  <c r="J19" i="25"/>
  <c r="I19" i="25"/>
  <c r="H19" i="25"/>
  <c r="G19" i="25"/>
  <c r="F19" i="25"/>
  <c r="F18" i="25"/>
  <c r="E19" i="25"/>
  <c r="D19" i="25"/>
  <c r="O18" i="25"/>
  <c r="I18" i="25"/>
  <c r="G18" i="25"/>
  <c r="E18" i="25"/>
  <c r="D18" i="25"/>
  <c r="O17" i="25"/>
  <c r="I17" i="25"/>
  <c r="H17" i="25"/>
  <c r="G17" i="25"/>
  <c r="F17" i="25"/>
  <c r="E17" i="25"/>
  <c r="D17" i="25"/>
  <c r="O16" i="25"/>
  <c r="H16" i="25"/>
  <c r="G16" i="25"/>
  <c r="F16" i="25"/>
  <c r="E16" i="25"/>
  <c r="D16" i="25"/>
  <c r="O12" i="25"/>
  <c r="L12" i="25"/>
  <c r="K12" i="25"/>
  <c r="J12" i="25"/>
  <c r="I12" i="25"/>
  <c r="H12" i="25"/>
  <c r="G12" i="25"/>
  <c r="F12" i="25"/>
  <c r="E12" i="25"/>
  <c r="D12" i="25"/>
  <c r="E11" i="25"/>
  <c r="D11" i="25"/>
  <c r="I16" i="23"/>
  <c r="I15" i="23"/>
  <c r="I14" i="23"/>
  <c r="I10" i="23"/>
  <c r="G16" i="23"/>
  <c r="G15" i="23"/>
  <c r="G14" i="23"/>
  <c r="G10" i="23"/>
  <c r="F16" i="23"/>
  <c r="F15" i="23"/>
  <c r="F10" i="23"/>
  <c r="E16" i="23"/>
  <c r="E15" i="23"/>
  <c r="E14" i="23"/>
  <c r="E10" i="23"/>
  <c r="D16" i="23"/>
  <c r="D10" i="23"/>
  <c r="D12" i="21"/>
  <c r="D7" i="21"/>
  <c r="D31" i="19"/>
  <c r="O30" i="19"/>
  <c r="M30" i="19"/>
  <c r="L30" i="19"/>
  <c r="K30" i="19"/>
  <c r="J30" i="19"/>
  <c r="I30" i="19"/>
  <c r="G30" i="19"/>
  <c r="F30" i="19"/>
  <c r="E30" i="19"/>
  <c r="D30" i="19"/>
  <c r="O29" i="19"/>
  <c r="M29" i="19"/>
  <c r="L29" i="19"/>
  <c r="K29" i="19"/>
  <c r="J29" i="19"/>
  <c r="I29" i="19"/>
  <c r="G29" i="19"/>
  <c r="F29" i="19"/>
  <c r="E29" i="19"/>
  <c r="D29" i="19"/>
  <c r="K28" i="19"/>
  <c r="J28" i="19"/>
  <c r="F28" i="19"/>
  <c r="E28" i="19"/>
  <c r="D28" i="19"/>
  <c r="O27" i="19"/>
  <c r="M27" i="19"/>
  <c r="E27" i="19"/>
  <c r="D27" i="19"/>
  <c r="L26" i="19"/>
  <c r="K26" i="19"/>
  <c r="J26" i="19"/>
  <c r="E26" i="19"/>
  <c r="D26" i="19"/>
  <c r="O24" i="19"/>
  <c r="M24" i="19"/>
  <c r="L24" i="19"/>
  <c r="K24" i="19"/>
  <c r="J24" i="19"/>
  <c r="I24" i="19"/>
  <c r="G24" i="19"/>
  <c r="F24" i="19"/>
  <c r="E24" i="19"/>
  <c r="D24" i="19"/>
  <c r="M17" i="19"/>
  <c r="L17" i="19"/>
  <c r="K17" i="19"/>
  <c r="J17" i="19"/>
  <c r="I17" i="19"/>
  <c r="G17" i="19"/>
  <c r="F17" i="19"/>
  <c r="E17" i="19"/>
  <c r="D17" i="19"/>
  <c r="O16" i="19"/>
  <c r="M16" i="19"/>
  <c r="L16" i="19"/>
  <c r="K16" i="19"/>
  <c r="J16" i="19"/>
  <c r="I16" i="19"/>
  <c r="G16" i="19"/>
  <c r="F16" i="19"/>
  <c r="E16" i="19"/>
  <c r="D16" i="19"/>
  <c r="O15" i="19"/>
  <c r="M15" i="19"/>
  <c r="L15" i="19"/>
  <c r="K15" i="19"/>
  <c r="J15" i="19"/>
  <c r="I15" i="19"/>
  <c r="G15" i="19"/>
  <c r="F15" i="19"/>
  <c r="E15" i="19"/>
  <c r="D15" i="19"/>
  <c r="O14" i="19"/>
  <c r="M14" i="19"/>
  <c r="O10" i="19"/>
  <c r="L14" i="19"/>
  <c r="K14" i="19"/>
  <c r="J14" i="19"/>
  <c r="I14" i="19"/>
  <c r="G14" i="19"/>
  <c r="F14" i="19"/>
  <c r="E14" i="19"/>
  <c r="D14" i="19"/>
  <c r="M10" i="19"/>
  <c r="L10" i="19"/>
  <c r="K10" i="19"/>
  <c r="J10" i="19"/>
  <c r="I10" i="19"/>
  <c r="G10" i="19"/>
  <c r="F10" i="19"/>
  <c r="E10" i="19"/>
  <c r="E9" i="19"/>
  <c r="D10" i="19"/>
  <c r="D9" i="19"/>
  <c r="D8" i="13" l="1"/>
  <c r="D9" i="13"/>
  <c r="D7" i="13"/>
  <c r="H16" i="66"/>
  <c r="K8" i="60"/>
  <c r="J8" i="60"/>
  <c r="F8" i="60"/>
  <c r="E8" i="60"/>
  <c r="D8" i="60"/>
  <c r="D10" i="55"/>
  <c r="D9" i="55"/>
  <c r="D8" i="55" l="1"/>
  <c r="K15" i="44"/>
  <c r="L14" i="44"/>
  <c r="I13" i="44"/>
  <c r="H13" i="44"/>
  <c r="E13" i="43" l="1"/>
  <c r="D13" i="43"/>
  <c r="E11" i="43"/>
  <c r="D11" i="43"/>
  <c r="T13" i="33"/>
  <c r="M23" i="33" l="1"/>
  <c r="D23" i="33"/>
  <c r="O22" i="33"/>
  <c r="M22" i="33"/>
  <c r="N18" i="33"/>
  <c r="N17" i="33"/>
  <c r="M17" i="33"/>
  <c r="J16" i="33"/>
  <c r="I16" i="33"/>
  <c r="L15" i="33"/>
  <c r="M14" i="33"/>
  <c r="J13" i="33"/>
  <c r="H13" i="33"/>
  <c r="D9" i="33"/>
  <c r="M8" i="33"/>
  <c r="D8" i="33"/>
  <c r="H23" i="32"/>
  <c r="H22" i="32"/>
  <c r="H18" i="32"/>
  <c r="H17" i="32"/>
  <c r="H16" i="32"/>
  <c r="H15" i="32"/>
  <c r="H14" i="32"/>
  <c r="H13" i="32"/>
  <c r="F23" i="32"/>
  <c r="F22" i="32"/>
  <c r="G18" i="32"/>
  <c r="F18" i="32"/>
  <c r="G17" i="32"/>
  <c r="F17" i="32"/>
  <c r="G16" i="32"/>
  <c r="F16" i="32"/>
  <c r="G15" i="32"/>
  <c r="F15" i="32"/>
  <c r="G14" i="32"/>
  <c r="F14" i="32"/>
  <c r="G13" i="32"/>
  <c r="F13" i="32"/>
  <c r="I9" i="32"/>
  <c r="F9" i="32"/>
  <c r="D23" i="32"/>
  <c r="D22" i="32"/>
  <c r="E18" i="32"/>
  <c r="D18" i="32"/>
  <c r="E17" i="32"/>
  <c r="D17" i="32"/>
  <c r="E16" i="32"/>
  <c r="D16" i="32"/>
  <c r="E15" i="32"/>
  <c r="D15" i="32"/>
  <c r="E14" i="32"/>
  <c r="D14" i="32"/>
  <c r="E13" i="32"/>
  <c r="D13" i="32"/>
  <c r="E9" i="32"/>
  <c r="I8" i="32"/>
  <c r="H8" i="32"/>
  <c r="G8" i="32"/>
  <c r="F8" i="32"/>
  <c r="D8" i="32"/>
  <c r="G32" i="18" l="1"/>
  <c r="F32" i="18"/>
  <c r="E32" i="18"/>
  <c r="G31" i="18"/>
  <c r="F31" i="18"/>
  <c r="E31" i="18"/>
  <c r="H30" i="18"/>
  <c r="G30" i="18"/>
  <c r="F30" i="18"/>
  <c r="E30" i="18"/>
  <c r="H27" i="18"/>
  <c r="G27" i="18"/>
  <c r="F27" i="18"/>
  <c r="E27" i="18"/>
  <c r="E17" i="18" l="1"/>
  <c r="E15" i="18" s="1"/>
  <c r="E12" i="18"/>
  <c r="K44" i="17" l="1"/>
  <c r="J44" i="17"/>
  <c r="I44" i="17"/>
  <c r="H44" i="17"/>
  <c r="K43" i="17"/>
  <c r="J43" i="17"/>
  <c r="I43" i="17"/>
  <c r="H43" i="17"/>
  <c r="K30" i="17"/>
  <c r="J30" i="17"/>
  <c r="I30" i="17"/>
  <c r="H30" i="17"/>
  <c r="K29" i="17"/>
  <c r="J29" i="17"/>
  <c r="I29" i="17"/>
  <c r="H29" i="17"/>
  <c r="G30" i="17"/>
  <c r="F30" i="17"/>
  <c r="E30" i="17"/>
  <c r="D30" i="17"/>
  <c r="G29" i="17"/>
  <c r="F29" i="17"/>
  <c r="E29" i="17"/>
  <c r="D29" i="17"/>
  <c r="K26" i="17"/>
  <c r="J26" i="17"/>
  <c r="I26" i="17"/>
  <c r="H26" i="17"/>
  <c r="K23" i="17"/>
  <c r="J23" i="17"/>
  <c r="I23" i="17"/>
  <c r="H23" i="17"/>
  <c r="K21" i="17"/>
  <c r="J21" i="17"/>
  <c r="I21" i="17"/>
  <c r="H21" i="17"/>
  <c r="H20" i="17"/>
  <c r="K20" i="17"/>
  <c r="J20" i="17"/>
  <c r="I20" i="17"/>
  <c r="K17" i="17"/>
  <c r="J17" i="17"/>
  <c r="I17" i="17"/>
  <c r="H17" i="17"/>
  <c r="K15" i="17"/>
  <c r="J15" i="17"/>
  <c r="I15" i="17"/>
  <c r="H15" i="17"/>
  <c r="K14" i="17"/>
  <c r="J14" i="17"/>
  <c r="I14" i="17"/>
  <c r="H14" i="17"/>
  <c r="K13" i="17"/>
  <c r="J13" i="17"/>
  <c r="I13" i="17"/>
  <c r="H13" i="17"/>
  <c r="K12" i="17"/>
  <c r="J12" i="17"/>
  <c r="I12" i="17"/>
  <c r="H12" i="17"/>
  <c r="G25" i="17"/>
  <c r="F25" i="17"/>
  <c r="E25" i="17"/>
  <c r="D25" i="17"/>
  <c r="G24" i="17"/>
  <c r="F24" i="17"/>
  <c r="E24" i="17"/>
  <c r="D24" i="17"/>
  <c r="G23" i="17"/>
  <c r="F23" i="17"/>
  <c r="E23" i="17"/>
  <c r="D23" i="17"/>
  <c r="F21" i="17"/>
  <c r="E21" i="17"/>
  <c r="D21" i="17"/>
  <c r="G20" i="17"/>
  <c r="F20" i="17"/>
  <c r="E20" i="17"/>
  <c r="D20" i="17"/>
  <c r="G17" i="17"/>
  <c r="F17" i="17"/>
  <c r="E17" i="17"/>
  <c r="D17" i="17"/>
  <c r="G15" i="17"/>
  <c r="F15" i="17"/>
  <c r="E15" i="17"/>
  <c r="D15" i="17"/>
  <c r="G14" i="17"/>
  <c r="F14" i="17"/>
  <c r="E14" i="17"/>
  <c r="D14" i="17"/>
  <c r="G13" i="17"/>
  <c r="F13" i="17"/>
  <c r="E13" i="17"/>
  <c r="D13" i="17"/>
  <c r="G12" i="17" l="1"/>
  <c r="F12" i="17"/>
  <c r="E12" i="17"/>
  <c r="D12" i="17"/>
  <c r="K10" i="17"/>
  <c r="J10" i="17"/>
  <c r="I10" i="17"/>
  <c r="H10" i="17"/>
  <c r="D18" i="16" l="1"/>
  <c r="D17" i="16"/>
  <c r="D16" i="16"/>
  <c r="D15" i="16"/>
  <c r="D14" i="16"/>
  <c r="D13" i="16"/>
  <c r="D11" i="16"/>
  <c r="D54" i="15"/>
  <c r="D40" i="15" l="1"/>
  <c r="E54" i="15"/>
  <c r="E40" i="15"/>
  <c r="E38" i="15"/>
  <c r="E9" i="15"/>
  <c r="D16" i="14" l="1"/>
  <c r="D7" i="14"/>
  <c r="D117" i="10"/>
  <c r="D113" i="10"/>
  <c r="D109" i="10"/>
  <c r="D103" i="10"/>
  <c r="D99" i="10" l="1"/>
  <c r="D102" i="10"/>
  <c r="D98" i="10"/>
  <c r="D92" i="10"/>
  <c r="D39" i="11"/>
  <c r="D12" i="10" l="1"/>
  <c r="D47" i="10"/>
  <c r="D31" i="10"/>
  <c r="D29" i="10"/>
  <c r="D20" i="10"/>
  <c r="D40" i="11" l="1"/>
  <c r="D38" i="11"/>
  <c r="D37" i="11"/>
  <c r="D36" i="11"/>
  <c r="D33" i="11"/>
  <c r="D32" i="11"/>
  <c r="D31" i="11"/>
  <c r="D30" i="11"/>
  <c r="D29" i="11"/>
  <c r="D28" i="11"/>
  <c r="D27" i="11"/>
  <c r="D26" i="11"/>
  <c r="D25" i="11"/>
  <c r="D22" i="11"/>
  <c r="D21" i="11"/>
  <c r="D20" i="11"/>
  <c r="B20" i="11"/>
  <c r="B21" i="11" s="1"/>
  <c r="B22" i="11" s="1"/>
  <c r="D19" i="11"/>
  <c r="D18" i="11"/>
  <c r="D17" i="11"/>
  <c r="D16" i="11"/>
  <c r="D15" i="11"/>
  <c r="D14" i="11"/>
  <c r="D13" i="11"/>
  <c r="D12" i="11"/>
  <c r="D11" i="11"/>
  <c r="D10" i="11"/>
  <c r="D9" i="11"/>
  <c r="J29" i="6"/>
  <c r="B30" i="6"/>
  <c r="B29" i="6"/>
  <c r="F20" i="6" l="1"/>
  <c r="I14" i="6"/>
  <c r="G30" i="3" l="1"/>
  <c r="F30" i="3"/>
  <c r="E30" i="3"/>
  <c r="D30" i="3"/>
  <c r="D12" i="3" l="1"/>
  <c r="D8" i="3"/>
  <c r="E51" i="3"/>
  <c r="F51" i="3"/>
  <c r="E46" i="3"/>
  <c r="F46" i="3"/>
  <c r="G46" i="3"/>
  <c r="E31" i="3"/>
  <c r="F31" i="3"/>
  <c r="G31" i="3"/>
  <c r="E14" i="3"/>
  <c r="E15" i="3" s="1"/>
  <c r="E16" i="3" s="1"/>
  <c r="F14" i="3"/>
  <c r="F15" i="3" s="1"/>
  <c r="F16" i="3" s="1"/>
  <c r="E12" i="3"/>
  <c r="E8" i="3"/>
  <c r="E9" i="3" s="1"/>
  <c r="E10" i="3" s="1"/>
  <c r="F8" i="3"/>
  <c r="F9" i="3"/>
  <c r="F10" i="3" s="1"/>
  <c r="D35" i="2"/>
  <c r="D31" i="2"/>
  <c r="D19" i="2"/>
  <c r="D18" i="2"/>
  <c r="D14" i="2"/>
  <c r="D8" i="2"/>
  <c r="D9" i="2" l="1"/>
  <c r="D36" i="2"/>
  <c r="D32" i="2"/>
  <c r="D44" i="2" l="1"/>
  <c r="D51" i="3"/>
  <c r="D46" i="3"/>
  <c r="D9" i="3"/>
  <c r="D10" i="3" s="1"/>
  <c r="D14" i="3" s="1"/>
  <c r="D15" i="3" s="1"/>
  <c r="D16" i="3" s="1"/>
  <c r="D31" i="3" s="1"/>
  <c r="F29" i="61"/>
  <c r="D43" i="11"/>
  <c r="E11" i="7" l="1"/>
  <c r="F10" i="7"/>
  <c r="F19" i="7" s="1"/>
  <c r="H10" i="20" l="1"/>
  <c r="G10" i="20"/>
  <c r="F10" i="20"/>
  <c r="E10" i="20"/>
  <c r="D10" i="20"/>
  <c r="I8" i="20"/>
  <c r="I10" i="20" s="1"/>
  <c r="F21" i="6" l="1"/>
  <c r="D11" i="21"/>
  <c r="F10" i="6" l="1"/>
  <c r="F12" i="6" l="1"/>
  <c r="H23" i="6"/>
  <c r="G23" i="6"/>
  <c r="G8" i="7" s="1"/>
  <c r="G10" i="7" s="1"/>
  <c r="G19" i="7" s="1"/>
  <c r="J39" i="6"/>
  <c r="J38" i="6"/>
  <c r="J37" i="6"/>
  <c r="J36" i="6"/>
  <c r="J35" i="6"/>
  <c r="J34" i="6"/>
  <c r="J33" i="6"/>
  <c r="J32" i="6"/>
  <c r="J31" i="6"/>
  <c r="J30" i="6"/>
  <c r="J28" i="6"/>
  <c r="J27" i="6"/>
  <c r="J26" i="6"/>
  <c r="F22" i="6"/>
  <c r="F15" i="6"/>
  <c r="F19" i="6"/>
  <c r="F18" i="6"/>
  <c r="F17" i="6"/>
  <c r="J16" i="6"/>
  <c r="I13" i="6"/>
  <c r="I23" i="6" s="1"/>
  <c r="H8" i="7" s="1"/>
  <c r="H10" i="7" s="1"/>
  <c r="H19" i="7" s="1"/>
  <c r="F11" i="6"/>
  <c r="F9" i="6"/>
  <c r="G29" i="27"/>
  <c r="F14" i="27"/>
  <c r="D29" i="27"/>
  <c r="E14" i="27"/>
  <c r="I29" i="27"/>
  <c r="K33" i="25"/>
  <c r="J33" i="25"/>
  <c r="I33" i="25"/>
  <c r="H33" i="25"/>
  <c r="G33" i="25"/>
  <c r="F33" i="25"/>
  <c r="O33" i="25"/>
  <c r="N33" i="25"/>
  <c r="M33" i="25"/>
  <c r="L33" i="25"/>
  <c r="E33" i="25"/>
  <c r="D33" i="25"/>
  <c r="I19" i="23"/>
  <c r="G19" i="23"/>
  <c r="E19" i="23"/>
  <c r="K19" i="23"/>
  <c r="J19" i="23"/>
  <c r="H19" i="23"/>
  <c r="F19" i="23"/>
  <c r="D19" i="23"/>
  <c r="R31" i="19"/>
  <c r="Q31" i="19"/>
  <c r="P31" i="19"/>
  <c r="O31" i="19"/>
  <c r="O17" i="19"/>
  <c r="N31" i="19"/>
  <c r="M31" i="19"/>
  <c r="K31" i="19"/>
  <c r="L31" i="19"/>
  <c r="J31" i="19"/>
  <c r="H31" i="19"/>
  <c r="I31" i="19"/>
  <c r="G31" i="19"/>
  <c r="F26" i="19"/>
  <c r="F31" i="19"/>
  <c r="E31" i="19"/>
  <c r="J40" i="6" l="1"/>
  <c r="H29" i="27"/>
  <c r="F29" i="27"/>
  <c r="E29" i="27"/>
  <c r="I29" i="61" l="1"/>
  <c r="H29" i="61"/>
  <c r="D17" i="55"/>
  <c r="N18" i="44"/>
  <c r="M18" i="44"/>
  <c r="J18" i="44"/>
  <c r="I18" i="44"/>
  <c r="H18" i="44"/>
  <c r="G18" i="44"/>
  <c r="F18" i="44"/>
  <c r="E18" i="44"/>
  <c r="D18" i="44"/>
  <c r="O17" i="44"/>
  <c r="O16" i="44"/>
  <c r="K18" i="44"/>
  <c r="O14" i="44"/>
  <c r="O13" i="44"/>
  <c r="O12" i="44"/>
  <c r="O11" i="44"/>
  <c r="O10" i="44"/>
  <c r="O9" i="44"/>
  <c r="O8" i="44"/>
  <c r="K17" i="42"/>
  <c r="J17" i="42"/>
  <c r="I17" i="42"/>
  <c r="H17" i="42"/>
  <c r="O15" i="44" l="1"/>
  <c r="O18" i="44" s="1"/>
  <c r="L18" i="44"/>
  <c r="R24" i="33"/>
  <c r="Q24" i="33"/>
  <c r="P24" i="33"/>
  <c r="K24" i="33"/>
  <c r="G24" i="33"/>
  <c r="F24" i="33"/>
  <c r="E24" i="33"/>
  <c r="S23" i="33"/>
  <c r="T23" i="33" s="1"/>
  <c r="O24" i="33"/>
  <c r="S22" i="33"/>
  <c r="T22" i="33" s="1"/>
  <c r="S21" i="33"/>
  <c r="T21" i="33" s="1"/>
  <c r="S20" i="33"/>
  <c r="T20" i="33" s="1"/>
  <c r="S19" i="33"/>
  <c r="T19" i="33" s="1"/>
  <c r="S18" i="33"/>
  <c r="T18" i="33" s="1"/>
  <c r="S17" i="33"/>
  <c r="T17" i="33" s="1"/>
  <c r="S16" i="33"/>
  <c r="T16" i="33" s="1"/>
  <c r="I24" i="33"/>
  <c r="L24" i="33"/>
  <c r="S14" i="33"/>
  <c r="T14" i="33" s="1"/>
  <c r="J24" i="33"/>
  <c r="H24" i="33"/>
  <c r="S12" i="33"/>
  <c r="T12" i="33" s="1"/>
  <c r="S11" i="33"/>
  <c r="T11" i="33" s="1"/>
  <c r="S10" i="33"/>
  <c r="T10" i="33" s="1"/>
  <c r="S9" i="33"/>
  <c r="T9" i="33" s="1"/>
  <c r="S8" i="33"/>
  <c r="T8" i="33" s="1"/>
  <c r="M24" i="33" l="1"/>
  <c r="N24" i="33"/>
  <c r="S15" i="33"/>
  <c r="T15" i="33" s="1"/>
  <c r="I17" i="32"/>
  <c r="I22" i="32"/>
  <c r="I14" i="32"/>
  <c r="F24" i="32"/>
  <c r="I16" i="32"/>
  <c r="H24" i="32"/>
  <c r="I15" i="32"/>
  <c r="I18" i="32"/>
  <c r="G24" i="32"/>
  <c r="E24" i="32"/>
  <c r="I23" i="32"/>
  <c r="D24" i="32"/>
  <c r="D24" i="33"/>
  <c r="S13" i="33"/>
  <c r="I13" i="32"/>
  <c r="H36" i="18"/>
  <c r="G36" i="18"/>
  <c r="F36" i="18"/>
  <c r="E36" i="18"/>
  <c r="H17" i="18"/>
  <c r="H15" i="18"/>
  <c r="H14" i="18"/>
  <c r="H13" i="18"/>
  <c r="H12" i="18"/>
  <c r="H11" i="18"/>
  <c r="D10" i="18"/>
  <c r="H10" i="18" s="1"/>
  <c r="H9" i="18"/>
  <c r="H44" i="18" s="1"/>
  <c r="K45" i="17"/>
  <c r="J45" i="17"/>
  <c r="I45" i="17"/>
  <c r="H45" i="17"/>
  <c r="K35" i="17"/>
  <c r="K40" i="17" s="1"/>
  <c r="J35" i="17"/>
  <c r="J40" i="17" s="1"/>
  <c r="I35" i="17"/>
  <c r="I40" i="17" s="1"/>
  <c r="H35" i="17"/>
  <c r="H40" i="17" s="1"/>
  <c r="G35" i="17"/>
  <c r="G40" i="17" s="1"/>
  <c r="F35" i="17"/>
  <c r="F40" i="17" s="1"/>
  <c r="E35" i="17"/>
  <c r="E40" i="17" s="1"/>
  <c r="D35" i="17"/>
  <c r="D40" i="17" s="1"/>
  <c r="S24" i="33" l="1"/>
  <c r="T24" i="33"/>
  <c r="I24" i="32"/>
  <c r="D9" i="16"/>
  <c r="D7" i="16" s="1"/>
  <c r="E69" i="15"/>
  <c r="D69" i="15"/>
  <c r="E64" i="15"/>
  <c r="D64" i="15"/>
  <c r="E52" i="15"/>
  <c r="D52" i="15"/>
  <c r="D38" i="15"/>
  <c r="E35" i="15"/>
  <c r="D35" i="15"/>
  <c r="E27" i="15"/>
  <c r="D27" i="15"/>
  <c r="E15" i="15"/>
  <c r="D15" i="15"/>
  <c r="D55" i="15" s="1"/>
  <c r="E55" i="15" l="1"/>
  <c r="E70" i="15" s="1"/>
  <c r="E72" i="15" s="1"/>
  <c r="D58" i="15"/>
  <c r="D70" i="15"/>
  <c r="D72" i="15" s="1"/>
  <c r="D21" i="14"/>
  <c r="D59" i="15"/>
  <c r="D71" i="15"/>
  <c r="D73" i="15" s="1"/>
  <c r="D57" i="15"/>
  <c r="E59" i="15" l="1"/>
  <c r="E71" i="15"/>
  <c r="E73" i="15" s="1"/>
  <c r="E57" i="15"/>
  <c r="E58" i="15"/>
  <c r="D34" i="11"/>
  <c r="D23" i="11"/>
  <c r="D48" i="10"/>
  <c r="J14" i="6"/>
  <c r="D18" i="10"/>
  <c r="F14" i="6" l="1"/>
  <c r="F23" i="6" s="1"/>
  <c r="E8" i="7" s="1"/>
  <c r="E10" i="7" s="1"/>
  <c r="E19" i="7" s="1"/>
  <c r="J23" i="6"/>
  <c r="D49" i="10"/>
  <c r="D70" i="10" s="1"/>
  <c r="D91" i="10" s="1"/>
  <c r="D94" i="10" s="1"/>
  <c r="D95" i="10" s="1"/>
  <c r="D96" i="10" s="1"/>
  <c r="D40" i="6" l="1"/>
  <c r="B27" i="6"/>
  <c r="B28" i="6" s="1"/>
  <c r="B31" i="6" s="1"/>
  <c r="B32" i="6" s="1"/>
  <c r="B33" i="6" s="1"/>
  <c r="B34" i="6" s="1"/>
  <c r="B35" i="6" s="1"/>
  <c r="B36" i="6" s="1"/>
  <c r="B37" i="6" s="1"/>
  <c r="B38" i="6" s="1"/>
  <c r="B39" i="6" s="1"/>
  <c r="D23" i="6"/>
  <c r="D8" i="7" s="1"/>
  <c r="D10" i="7" s="1"/>
  <c r="D19" i="7" s="1"/>
  <c r="B10" i="6"/>
  <c r="B11" i="6" s="1"/>
  <c r="B12" i="6" s="1"/>
  <c r="B13" i="6" s="1"/>
  <c r="B14" i="6" s="1"/>
  <c r="B15" i="6" s="1"/>
  <c r="B16" i="6" s="1"/>
  <c r="B17" i="6" s="1"/>
  <c r="B18" i="6" s="1"/>
  <c r="B19" i="6" s="1"/>
  <c r="B20" i="6" s="1"/>
  <c r="B21" i="6" s="1"/>
  <c r="B22" i="6" s="1"/>
  <c r="F9" i="2" l="1"/>
  <c r="E8" i="2"/>
  <c r="E44" i="2" s="1"/>
  <c r="F8" i="2"/>
  <c r="F10" i="2"/>
  <c r="F11" i="2"/>
  <c r="F12" i="2"/>
  <c r="F13" i="2"/>
  <c r="F14" i="2"/>
  <c r="E14" i="2"/>
  <c r="F15" i="2"/>
  <c r="F16" i="2"/>
  <c r="F17" i="2"/>
  <c r="E18" i="2"/>
  <c r="F18" i="2"/>
  <c r="E19" i="2"/>
  <c r="F19" i="2"/>
  <c r="F25" i="2"/>
  <c r="F26" i="2"/>
  <c r="F27" i="2"/>
  <c r="F28" i="2"/>
  <c r="F29" i="2"/>
  <c r="F30" i="2"/>
  <c r="E31" i="2"/>
  <c r="F31" i="2"/>
  <c r="E32" i="2"/>
  <c r="F32" i="2"/>
  <c r="F33" i="2"/>
  <c r="F34" i="2"/>
  <c r="E35" i="2"/>
  <c r="F35" i="2"/>
  <c r="E36" i="2"/>
  <c r="F36" i="2"/>
  <c r="F37" i="2"/>
  <c r="F38" i="2"/>
  <c r="F39" i="2"/>
  <c r="E9" i="2" l="1"/>
  <c r="F44" i="2" l="1"/>
</calcChain>
</file>

<file path=xl/sharedStrings.xml><?xml version="1.0" encoding="utf-8"?>
<sst xmlns="http://schemas.openxmlformats.org/spreadsheetml/2006/main" count="2856" uniqueCount="1514">
  <si>
    <t>I alt</t>
  </si>
  <si>
    <t>Ikke relevant</t>
  </si>
  <si>
    <t>Beløb under tærsklerne for fradrag (omfattet
af en risikovægt på 250 %)</t>
  </si>
  <si>
    <t xml:space="preserve">Heraf i henhold til den avancerede målemetode </t>
  </si>
  <si>
    <t>EU 23c</t>
  </si>
  <si>
    <t xml:space="preserve">Heraf i henhold til standardmetoden </t>
  </si>
  <si>
    <t>EU 23b</t>
  </si>
  <si>
    <t xml:space="preserve">Heraf i henhold til basisindikatormetoden </t>
  </si>
  <si>
    <t>EU 23a</t>
  </si>
  <si>
    <t xml:space="preserve">Operationel risiko </t>
  </si>
  <si>
    <t>Store eksponeringer</t>
  </si>
  <si>
    <t>EU 22a</t>
  </si>
  <si>
    <t xml:space="preserve">Heraf i henhold til metoden med interne modeller </t>
  </si>
  <si>
    <t>Positionsrisiko, valutarisiko og råvarerisiko (markedsrisiko)</t>
  </si>
  <si>
    <t>Heraf 1 250 % / fradrag</t>
  </si>
  <si>
    <t>EU 19a</t>
  </si>
  <si>
    <t xml:space="preserve">Heraf i henhold til SEC-SA-metoden </t>
  </si>
  <si>
    <t>Heraf i henhold til SEC-ERBA (undtagen IAA)</t>
  </si>
  <si>
    <t xml:space="preserve">Heraf i henhold til SEC-IRBA-metoden </t>
  </si>
  <si>
    <t>Securitiseringseksponeringer uden for handelsbeholdningen (efter loftet)</t>
  </si>
  <si>
    <t xml:space="preserve">Afviklingsrisiko </t>
  </si>
  <si>
    <t>Heraf anden modpartskreditrisiko</t>
  </si>
  <si>
    <t>Heraf kreditværdijustering — CVA</t>
  </si>
  <si>
    <t>EU 8b</t>
  </si>
  <si>
    <t>Heraf eksponeringer mod en CCP</t>
  </si>
  <si>
    <t>EU 8a</t>
  </si>
  <si>
    <t>Heraf i henhold til metoden med interne modeller (IMM)</t>
  </si>
  <si>
    <t xml:space="preserve">Modpartskreditrisiko — CCR </t>
  </si>
  <si>
    <t xml:space="preserve">Heraf i henhold til den avancerede IRB-metode (Advanced IRB, A-IRB) </t>
  </si>
  <si>
    <t>Heraf: aktier i henhold til den forenklede risikovægtningsmetode</t>
  </si>
  <si>
    <t>EU 4a</t>
  </si>
  <si>
    <t>Heraf i henhold til kategoriseringsmetoden</t>
  </si>
  <si>
    <t xml:space="preserve">Heraf i henhold til den grundlæggende IRB-metode (Foundation IRB, F-IRB) </t>
  </si>
  <si>
    <t>Kreditrisiko (undtagen modpartskreditrisiko)</t>
  </si>
  <si>
    <t>%</t>
  </si>
  <si>
    <t>Samlede risikoeksponeringer (TREA)</t>
  </si>
  <si>
    <t>Skema EU OV1 – Oversigt over samlede risikoeksponeringer</t>
  </si>
  <si>
    <t>NSFR (%)</t>
  </si>
  <si>
    <t>Krævet stabil finansiering i alt</t>
  </si>
  <si>
    <t>Tilgængelig stabil finansiering i alt</t>
  </si>
  <si>
    <t>Net stable funding ratio</t>
  </si>
  <si>
    <t>Likviditetsdækningsgrad (%)</t>
  </si>
  <si>
    <t>Nettopengestrømme i alt (justeret værdi)</t>
  </si>
  <si>
    <t xml:space="preserve">Indgående pengestrømme — Samlet vægtet værdi </t>
  </si>
  <si>
    <t>EU 16b</t>
  </si>
  <si>
    <t xml:space="preserve">Udgående pengestrømme — Samlet vægtet værdi </t>
  </si>
  <si>
    <t>EU 16a</t>
  </si>
  <si>
    <t>Likvide aktiver af høj kvalitet (HQLA) i alt (vægtet værdi — gennemsnit)</t>
  </si>
  <si>
    <t>Likviditetsdækningsgrad</t>
  </si>
  <si>
    <t>Sammenlagt gearingsgradkrav (%)</t>
  </si>
  <si>
    <t>EU 14e</t>
  </si>
  <si>
    <t>Krav vedrørende gearingsgradbuffer (%)</t>
  </si>
  <si>
    <t>EU 14d</t>
  </si>
  <si>
    <t>Gearingsgradbuffer og sammenlagt gearingsgradkrav (som en procentdel af det samlede eksponeringsmål)</t>
  </si>
  <si>
    <t>Samlede SREP-gearingsgradkrav (%)</t>
  </si>
  <si>
    <t>EU 14c</t>
  </si>
  <si>
    <t xml:space="preserve">     heraf: i form af egentlig kernekapital (procentpoint)</t>
  </si>
  <si>
    <t>EU 14b</t>
  </si>
  <si>
    <t xml:space="preserve">Krav om yderligere kapitalgrundlag til at tage højde for risikoen for overdreven gearing (%) </t>
  </si>
  <si>
    <t>EU 14a</t>
  </si>
  <si>
    <r>
      <rPr>
        <b/>
        <sz val="11"/>
        <color theme="1"/>
        <rFont val="Calibri"/>
        <family val="2"/>
        <scheme val="minor"/>
      </rPr>
      <t>Krav om yderligere kapitalgrundlag til at tage højde for risikoen for overdreven gearing (som en procentdel af det samlede eksponeringsmål)</t>
    </r>
  </si>
  <si>
    <t>Gearingsgrad (%)</t>
  </si>
  <si>
    <t>Samlet eksponeringsmål</t>
  </si>
  <si>
    <t>Gearingsgrad</t>
  </si>
  <si>
    <t>Tilgængelig egentlig kernekapital efter opfyldelse af samlede SREP-kapitalgrundlagskrav (%)</t>
  </si>
  <si>
    <t>Sammenlagte kapitalkrav (%)</t>
  </si>
  <si>
    <t>EU 11a</t>
  </si>
  <si>
    <t>Kombineret bufferkrav (%)</t>
  </si>
  <si>
    <t>Buffer for andre systemisk vigtige institutter (%)</t>
  </si>
  <si>
    <t>EU 10a</t>
  </si>
  <si>
    <t>Buffer for globale systemisk vigtige institutter (%)</t>
  </si>
  <si>
    <t>Systemisk risikobuffer (%)</t>
  </si>
  <si>
    <t>EU 9a</t>
  </si>
  <si>
    <t>Institutspecifik kontracyklisk kapitalbuffer (%)</t>
  </si>
  <si>
    <t>Bevaringsbuffer som følge af makroprudentiel eller systemisk risiko identificeret på medlemsstatsniveau (%)</t>
  </si>
  <si>
    <t>Kapitalbevaringsbuffer (%)</t>
  </si>
  <si>
    <t>Kombineret bufferkrav og sammenlagt kapitalkrav (som en procentdel af den risikovægtede eksponering)</t>
  </si>
  <si>
    <t>Samlede SREP-kapitalgrundlagskrav (%)</t>
  </si>
  <si>
    <t>EU 7d</t>
  </si>
  <si>
    <t xml:space="preserve">     heraf: i form af kernekapital (procentpoint)</t>
  </si>
  <si>
    <t>EU 7c</t>
  </si>
  <si>
    <t>EU 7b</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</si>
  <si>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</si>
  <si>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7a</t>
  </si>
  <si>
    <t>Krav om yderligere kapitalgrundlag til at tage højde for andre risici end risikoen for overdreven gearing (som en procentdel af den risikovægtede eksponering)</t>
  </si>
  <si>
    <t>Kapitalprocent i alt (%)</t>
  </si>
  <si>
    <t>Kernekapitalprocent (%)</t>
  </si>
  <si>
    <r>
      <rPr>
        <sz val="11"/>
        <color theme="1"/>
        <rFont val="Calibri"/>
        <family val="2"/>
        <scheme val="minor"/>
      </rPr>
      <t>Egentlig kernekapitalprocent (%)</t>
    </r>
  </si>
  <si>
    <r>
      <rPr>
        <b/>
        <sz val="11"/>
        <color rgb="FF000000"/>
        <rFont val="Calibri"/>
        <family val="2"/>
        <scheme val="minor"/>
      </rPr>
      <t>Kapitalprocenter (som en procentdel af den risikovægtede eksponering)</t>
    </r>
  </si>
  <si>
    <t>Samlet risikoeksponering</t>
  </si>
  <si>
    <t>Risikovægtede eksponeringer</t>
  </si>
  <si>
    <t xml:space="preserve">Samlet kapital </t>
  </si>
  <si>
    <t xml:space="preserve">Kernekapital </t>
  </si>
  <si>
    <t xml:space="preserve">Egentlig kernekapital (CET1) </t>
  </si>
  <si>
    <t>Tilgængeligt kapitalgrundlag (beløb)</t>
  </si>
  <si>
    <t>T-4</t>
  </si>
  <si>
    <t>1. halvår 2021</t>
  </si>
  <si>
    <t>e</t>
  </si>
  <si>
    <t>d</t>
  </si>
  <si>
    <t>c</t>
  </si>
  <si>
    <t>Skema EU KM1 – Skema om væsentlige målekriterier</t>
  </si>
  <si>
    <t>Kapitalgrundlagsinstrumenter i forsikrings-, genforsikrings eller forsikringsholdingselskaber, som ikke fratrækkes kapitalgrundlaget</t>
  </si>
  <si>
    <t>Risikoeksponering</t>
  </si>
  <si>
    <t>Eksponeringsværdi</t>
  </si>
  <si>
    <t>b</t>
  </si>
  <si>
    <t>a</t>
  </si>
  <si>
    <t>Skema EU INS1 – Forsikringsinteresser</t>
  </si>
  <si>
    <t>Det finansielle konglomerats kapitalprocent (%)</t>
  </si>
  <si>
    <t xml:space="preserve">Krav om yderligere kapitalgrundlag til det finansielle konglomerat (beløb) </t>
  </si>
  <si>
    <t>T</t>
  </si>
  <si>
    <t>Skema EU INS2 – Finansielle konglomerater — Oplysninger om kapitalgrundlag og kapitalprocent</t>
  </si>
  <si>
    <t>N/A</t>
  </si>
  <si>
    <t xml:space="preserve">Skema EU LI1 – Forskelle mellem de regnskabsmæssige rammer og rammerne for tilsynsmæssig konsolidering og sammenstilling af regnskabskategorierne og lovmæssigt fastsatte risikokategorier </t>
  </si>
  <si>
    <t>f</t>
  </si>
  <si>
    <t>g</t>
  </si>
  <si>
    <t xml:space="preserve"> </t>
  </si>
  <si>
    <t>Regnskabsmæssige værdier som indberettet i offentliggjorte regnskaber</t>
  </si>
  <si>
    <t>Regnskabsmæssige værdier inden for rammerne for tilsynsmæssig konsolidering</t>
  </si>
  <si>
    <t>Regnskabsmæssige værdier af poster</t>
  </si>
  <si>
    <t>Ikke omfattet af kapitalgrundlagskrav eller omfattet af fradrag i kapitalgrundlag</t>
  </si>
  <si>
    <t>Opdeling efter aktivklasser i overensstemmelse med balancen i de offentliggjorte regnskaber</t>
  </si>
  <si>
    <t xml:space="preserve">Kassebeholdning og anfordringstilgodehavender hos centralbanker </t>
  </si>
  <si>
    <t xml:space="preserve">Tilgodehavender hos kreditinstitutter og centralbanker </t>
  </si>
  <si>
    <t xml:space="preserve">Udlån og andre tilgodehavender til dagsværdi </t>
  </si>
  <si>
    <t xml:space="preserve">Udlån og andre tilgodehavender til amortiseret kostpris </t>
  </si>
  <si>
    <t xml:space="preserve">Obligationer til dagsværdi </t>
  </si>
  <si>
    <t xml:space="preserve">Aktier m.v. </t>
  </si>
  <si>
    <t>Kapitalandele i associerede virksomheder</t>
  </si>
  <si>
    <t xml:space="preserve">Aktiver tilknyttet puljeordninger </t>
  </si>
  <si>
    <t>Grunde og bygninger i alt</t>
  </si>
  <si>
    <t xml:space="preserve">Øvrige materielle aktiver </t>
  </si>
  <si>
    <t>Aktuelle skatteaktiver</t>
  </si>
  <si>
    <t xml:space="preserve">Andre aktiver </t>
  </si>
  <si>
    <t xml:space="preserve">Periodeafgrænsningsposter </t>
  </si>
  <si>
    <t xml:space="preserve">Aktiver i alt </t>
  </si>
  <si>
    <t>Opdeling efter passivklasser i overensstemmelse med balancen i de offentliggjorte regnskaber</t>
  </si>
  <si>
    <t>1</t>
  </si>
  <si>
    <t xml:space="preserve">Gæld til kreditinstitutter og centralbanker </t>
  </si>
  <si>
    <t xml:space="preserve">Indlån og anden gæld </t>
  </si>
  <si>
    <t xml:space="preserve">Indlån i puljeordninger </t>
  </si>
  <si>
    <t xml:space="preserve">Andre passiver </t>
  </si>
  <si>
    <t xml:space="preserve">Hensættelser til pensioner og lignende forpligtelser </t>
  </si>
  <si>
    <t xml:space="preserve">Hensættelser til udskudt skat </t>
  </si>
  <si>
    <t>Hensættelser til tab på garantier m.v.</t>
  </si>
  <si>
    <t xml:space="preserve">Aktiekapital </t>
  </si>
  <si>
    <t>Opskrivningshenlæggelser</t>
  </si>
  <si>
    <t xml:space="preserve">Reserve for sikringsinstrumenter </t>
  </si>
  <si>
    <t xml:space="preserve">Overført resultat  </t>
  </si>
  <si>
    <t xml:space="preserve">Foreslået udbytte </t>
  </si>
  <si>
    <t xml:space="preserve">Passiver i alt </t>
  </si>
  <si>
    <t xml:space="preserve">Skema EU LI2 – Primære kilder til forskelle mellem de tilsynsmæssige eksponeringsbeløb og regnskabsmæssige værdier </t>
  </si>
  <si>
    <t xml:space="preserve">Poster omfattet af </t>
  </si>
  <si>
    <t>Kreditrisikoramme</t>
  </si>
  <si>
    <t xml:space="preserve">Securitiseringsramme </t>
  </si>
  <si>
    <t xml:space="preserve">Modpartskreditrisikoramme </t>
  </si>
  <si>
    <t>Markedsrisikoramme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</si>
  <si>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</si>
  <si>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</si>
  <si>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</si>
  <si>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</si>
  <si>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</si>
  <si>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</si>
  <si>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</si>
  <si>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</si>
  <si>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</si>
  <si>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</si>
  <si>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</si>
  <si>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</si>
  <si>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Skema EU LI3 – Skitsering af forskellene i konsolideringens omfang (enhed for enhed) </t>
  </si>
  <si>
    <t>h</t>
  </si>
  <si>
    <t>Enhedens navn</t>
  </si>
  <si>
    <t>Metode for regnskabsmæssig konsolidering</t>
  </si>
  <si>
    <t>Metode for tilsynsmæssig konsolidering</t>
  </si>
  <si>
    <t>Beskrivelse af enheden</t>
  </si>
  <si>
    <t>Fuld konsolidering</t>
  </si>
  <si>
    <t>Proportional konsolidering</t>
  </si>
  <si>
    <t>Den indre værdis metode</t>
  </si>
  <si>
    <t>Hverken konsolideret eller fratrukket</t>
  </si>
  <si>
    <t>Fratrukket</t>
  </si>
  <si>
    <t>X</t>
  </si>
  <si>
    <t>Kreditinstitut</t>
  </si>
  <si>
    <t>Skema EU PV1 – Justeringer som følge af forsigtig værdiansættelse (PVA)</t>
  </si>
  <si>
    <t>Fast format</t>
  </si>
  <si>
    <t>EU e1</t>
  </si>
  <si>
    <t>EU e2</t>
  </si>
  <si>
    <t>Risikokategori</t>
  </si>
  <si>
    <t>AVA på kategoriniveau</t>
  </si>
  <si>
    <t>Aktier</t>
  </si>
  <si>
    <t>Renter</t>
  </si>
  <si>
    <t>Valuta</t>
  </si>
  <si>
    <t>Lån</t>
  </si>
  <si>
    <t>Råvarer</t>
  </si>
  <si>
    <t>AVA for ikke optjente kreditspænd</t>
  </si>
  <si>
    <t>Markedsprisusikkerhed</t>
  </si>
  <si>
    <t>Omkostninger ved at lukke positioner</t>
  </si>
  <si>
    <t>Koncentrerede positioner</t>
  </si>
  <si>
    <t>Forfald før aftalt tid</t>
  </si>
  <si>
    <t>Modelrisiko</t>
  </si>
  <si>
    <t>Operationel risiko</t>
  </si>
  <si>
    <t>Yderligere værdijusteringer (AVA'er) i alt</t>
  </si>
  <si>
    <t>Skema EU CC1 — Sammensætning af lovpligtigt kapitalgrundlag</t>
  </si>
  <si>
    <t xml:space="preserve"> a)</t>
  </si>
  <si>
    <t xml:space="preserve">  b)</t>
  </si>
  <si>
    <t xml:space="preserve">Egentlig kernekapital:  instrumenter og reserver                                             </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</si>
  <si>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</si>
  <si>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</si>
  <si>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</si>
  <si>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</si>
  <si>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</si>
  <si>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</si>
  <si>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</si>
  <si>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</si>
  <si>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</si>
  <si>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</si>
  <si>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</si>
  <si>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</si>
  <si>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</si>
  <si>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</si>
  <si>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</si>
  <si>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</si>
  <si>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</si>
  <si>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</si>
  <si>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</si>
  <si>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</si>
  <si>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</si>
  <si>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</si>
  <si>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</si>
  <si>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</si>
  <si>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</si>
  <si>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</si>
  <si>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</si>
  <si>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</si>
  <si>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</si>
  <si>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</si>
  <si>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</si>
  <si>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</si>
  <si>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</si>
  <si>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</si>
  <si>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</si>
  <si>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</si>
  <si>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</si>
  <si>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</si>
  <si>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</si>
  <si>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</si>
  <si>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</si>
  <si>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27a</t>
  </si>
  <si>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</si>
  <si>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</si>
  <si>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</si>
  <si>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</si>
  <si>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</si>
  <si>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</si>
  <si>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</si>
  <si>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</si>
  <si>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</si>
  <si>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</si>
  <si>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</si>
  <si>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</si>
  <si>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</si>
  <si>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</si>
  <si>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</si>
  <si>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</si>
  <si>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</si>
  <si>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</si>
  <si>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</si>
  <si>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</si>
  <si>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</si>
  <si>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</si>
  <si>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</si>
  <si>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</si>
  <si>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</si>
  <si>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</si>
  <si>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</si>
  <si>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</si>
  <si>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</si>
  <si>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</si>
  <si>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</si>
  <si>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</si>
  <si>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</si>
  <si>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</si>
  <si>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</si>
  <si>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</si>
  <si>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</si>
  <si>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</si>
  <si>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</si>
  <si>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</si>
  <si>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</si>
  <si>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</si>
  <si>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</si>
  <si>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</si>
  <si>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</si>
  <si>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</si>
  <si>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</si>
  <si>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</si>
  <si>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</si>
  <si>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</si>
  <si>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</si>
  <si>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</si>
  <si>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</si>
  <si>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</si>
  <si>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</si>
  <si>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</si>
  <si>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</si>
  <si>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</si>
  <si>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</si>
  <si>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</si>
  <si>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t>Beløb under tærsklerne for fradrag (før risikovægtning) </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</si>
  <si>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</si>
  <si>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</si>
  <si>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</si>
  <si>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</si>
  <si>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</si>
  <si>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</si>
  <si>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</si>
  <si>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</si>
  <si>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</si>
  <si>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</si>
  <si>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</si>
  <si>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</si>
  <si>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</si>
  <si>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Skema CC2 – Afstemning mellem lovbestemt kapitalgrundlag og balancen i de reviderede regnskaber</t>
  </si>
  <si>
    <t>Reference</t>
  </si>
  <si>
    <t>Ved periodens udgang</t>
  </si>
  <si>
    <t>Aktiver i alt</t>
  </si>
  <si>
    <t>Passiver i alt</t>
  </si>
  <si>
    <t>Aktiekapital</t>
  </si>
  <si>
    <t>Aktiekapital i alt</t>
  </si>
  <si>
    <t>Skema EU-CCyB1 — Geografisk fordeling af krediteksponeringer, der er relevante for beregningen af den kontracykliske kapitalbuffer</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</si>
  <si>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</si>
  <si>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</si>
  <si>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</si>
  <si>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</si>
  <si>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</si>
  <si>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</si>
  <si>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</si>
  <si>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</si>
  <si>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</si>
  <si>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</si>
  <si>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</si>
  <si>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</si>
  <si>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</si>
  <si>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</si>
  <si>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</si>
  <si>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</si>
  <si>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</si>
  <si>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</si>
  <si>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</si>
  <si>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</si>
  <si>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</si>
  <si>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</si>
  <si>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Land: 001</t>
  </si>
  <si>
    <t>Land: 002</t>
  </si>
  <si>
    <t>…</t>
  </si>
  <si>
    <t>Land: NNN</t>
  </si>
  <si>
    <t>020</t>
  </si>
  <si>
    <t>Ikke sikker på at vi skal offentliggøre dette, når vi kun har DK. Skemaerne er også tomme</t>
  </si>
  <si>
    <t>Skema EU-CCyB2 — Størrelsen af den institutspecifikke kontracykliske kapitalbuffer</t>
  </si>
  <si>
    <t>Institutspecifik kontracyklisk kapitalbuffersats</t>
  </si>
  <si>
    <t>Krav til den institutspecifikke kontracykliske kapitalbuffer</t>
  </si>
  <si>
    <t>n</t>
  </si>
  <si>
    <t>Skema EU LR1 - LRSum: Afstemning mellem regnskabsmæssige aktiver og gearingsgradrelevante eksponeringer — oversigt</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</si>
  <si>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</si>
  <si>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</si>
  <si>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</si>
  <si>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</si>
  <si>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</si>
  <si>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</si>
  <si>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</si>
  <si>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</si>
  <si>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</si>
  <si>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</si>
  <si>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</si>
  <si>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</si>
  <si>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</si>
  <si>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</si>
  <si>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</si>
  <si>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</si>
  <si>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</si>
  <si>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</si>
  <si>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Skema EU LR2 - LRCom Oplysninger om gearingsgrad — fælles regler</t>
  </si>
  <si>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</si>
  <si>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</si>
  <si>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</si>
  <si>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</si>
  <si>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</si>
  <si>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</si>
  <si>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</si>
  <si>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</si>
  <si>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</si>
  <si>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</si>
  <si>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</si>
  <si>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</si>
  <si>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</si>
  <si>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</si>
  <si>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EU-9a</t>
  </si>
  <si>
    <t>Undtagelse for derivater: andel af potentiel fremtidig eksponering i henhold til den forenklede standardmetode</t>
  </si>
  <si>
    <t>EU-9b</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</si>
  <si>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</si>
  <si>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</si>
  <si>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</si>
  <si>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</si>
  <si>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</si>
  <si>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</si>
  <si>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</si>
  <si>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</si>
  <si>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</si>
  <si>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</si>
  <si>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</si>
  <si>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</si>
  <si>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</si>
  <si>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</si>
  <si>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</si>
  <si>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</si>
  <si>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</si>
  <si>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</si>
  <si>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</si>
  <si>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</si>
  <si>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</si>
  <si>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</si>
  <si>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</si>
  <si>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</si>
  <si>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</si>
  <si>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</si>
  <si>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</si>
  <si>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</si>
  <si>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</si>
  <si>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</si>
  <si>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</si>
  <si>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</si>
  <si>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</si>
  <si>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</si>
  <si>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</si>
  <si>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</si>
  <si>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</si>
  <si>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</si>
  <si>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</si>
  <si>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</si>
  <si>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</si>
  <si>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</si>
  <si>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</si>
  <si>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</si>
  <si>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</si>
  <si>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</si>
  <si>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</si>
  <si>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</si>
  <si>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</si>
  <si>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</si>
  <si>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</si>
  <si>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</si>
  <si>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</si>
  <si>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</si>
  <si>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</si>
  <si>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</si>
  <si>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</si>
  <si>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</si>
  <si>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</si>
  <si>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</si>
  <si>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</si>
  <si>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</si>
  <si>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</si>
  <si>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</si>
  <si>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</si>
  <si>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</si>
  <si>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</si>
  <si>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</si>
  <si>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</si>
  <si>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</si>
  <si>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</si>
  <si>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</si>
  <si>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</si>
  <si>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</si>
  <si>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</si>
  <si>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</si>
  <si>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</si>
  <si>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</si>
  <si>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</si>
  <si>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</si>
  <si>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</si>
  <si>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</si>
  <si>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</si>
  <si>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</si>
  <si>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</si>
  <si>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</si>
  <si>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</si>
  <si>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</si>
  <si>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</si>
  <si>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</si>
  <si>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</si>
  <si>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</si>
  <si>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</si>
  <si>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</si>
  <si>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</si>
  <si>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Skema EU LIQ1 - Kvantitative oplysninger om likviditetsdækningsgrad</t>
  </si>
  <si>
    <t>Uvægtet værdi i alt (gennemsnit)</t>
  </si>
  <si>
    <t>Vægtet værdi i alt (gennemsnit)</t>
  </si>
  <si>
    <t>EU 1a</t>
  </si>
  <si>
    <t>Kvartalsafslutning den (DD måned ÅÅÅÅ)</t>
  </si>
  <si>
    <t>31. dec. 2021</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</si>
  <si>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</si>
  <si>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</si>
  <si>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</si>
  <si>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</si>
  <si>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</si>
  <si>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</si>
  <si>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</si>
  <si>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</si>
  <si>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</si>
  <si>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</si>
  <si>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</si>
  <si>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</si>
  <si>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</si>
  <si>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</si>
  <si>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</si>
  <si>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</si>
  <si>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</si>
  <si>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</si>
  <si>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</si>
  <si>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</si>
  <si>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</si>
  <si>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</si>
  <si>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</si>
  <si>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</si>
  <si>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</si>
  <si>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</si>
  <si>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</si>
  <si>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</si>
  <si>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</si>
  <si>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</si>
  <si>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</si>
  <si>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</si>
  <si>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</si>
  <si>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</si>
  <si>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</si>
  <si>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</si>
  <si>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 xml:space="preserve">Skema EU LIQ2: Net stable funding ratio </t>
  </si>
  <si>
    <t>I overensstemmelse med artikel 451a, stk. 3, i CRR</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</si>
  <si>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</si>
  <si>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</si>
  <si>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</si>
  <si>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</si>
  <si>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</si>
  <si>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</si>
  <si>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</si>
  <si>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</si>
  <si>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</si>
  <si>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</si>
  <si>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</si>
  <si>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</si>
  <si>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</si>
  <si>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</si>
  <si>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</si>
  <si>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</si>
  <si>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</si>
  <si>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</si>
  <si>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</si>
  <si>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</si>
  <si>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</si>
  <si>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</si>
  <si>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</si>
  <si>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</si>
  <si>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</si>
  <si>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</si>
  <si>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</si>
  <si>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</si>
  <si>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</si>
  <si>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</si>
  <si>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</si>
  <si>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</si>
  <si>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</si>
  <si>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</si>
  <si>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</si>
  <si>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</si>
  <si>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</si>
  <si>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</si>
  <si>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</si>
  <si>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 xml:space="preserve">Skema EU CR1: Ikkemisligholdte og misligholdte eksponeringer og dertil knyttede bestemmelser. </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</si>
  <si>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</si>
  <si>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</si>
  <si>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</si>
  <si>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</si>
  <si>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</si>
  <si>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</si>
  <si>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</si>
  <si>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</si>
  <si>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Heraf fase 1</t>
  </si>
  <si>
    <t>Heraf fase 2</t>
  </si>
  <si>
    <t>Heraf fase 3</t>
  </si>
  <si>
    <t>005</t>
  </si>
  <si>
    <t>Kassebeholdninger i centralbanker og andre anfordringsindskud</t>
  </si>
  <si>
    <t>Lån og forskud</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</si>
  <si>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</si>
  <si>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</si>
  <si>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</si>
  <si>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</si>
  <si>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</si>
  <si>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</si>
  <si>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</si>
  <si>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</si>
  <si>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</si>
  <si>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</si>
  <si>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</si>
  <si>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</si>
  <si>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</si>
  <si>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</si>
  <si>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</si>
  <si>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</si>
  <si>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</si>
  <si>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</si>
  <si>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</si>
  <si>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</si>
  <si>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</si>
  <si>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</si>
  <si>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</si>
  <si>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</si>
  <si>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</si>
  <si>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</si>
  <si>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</si>
  <si>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</si>
  <si>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Skema EU CR1-A: Løbetid på eksponeringer</t>
  </si>
  <si>
    <t>Nettoeksponeringsværdi</t>
  </si>
  <si>
    <t>På anfordring</t>
  </si>
  <si>
    <t>&lt;= 1 år</t>
  </si>
  <si>
    <t>&gt; 1 år &lt;= 5 år</t>
  </si>
  <si>
    <t>&gt; 5 år</t>
  </si>
  <si>
    <t>Ingen fastsat løbetid</t>
  </si>
  <si>
    <t>Skema EU CR2: Ændringer i beholdningen af misligholdte lån og forskud</t>
  </si>
  <si>
    <t xml:space="preserve">Regnskabsmæssig bruttoværdi               </t>
  </si>
  <si>
    <t>Oprindelig beholdning af misligholdte lån og forskud</t>
  </si>
  <si>
    <t>Indgående pengestrømme til misligholdte porteføljer</t>
  </si>
  <si>
    <t>Udgående pengestrømme fra misligholdte porteføljer</t>
  </si>
  <si>
    <t>Udgående pengestrømme som følge af afskrivninger</t>
  </si>
  <si>
    <t>Udgående pengestrøm, andre situationer</t>
  </si>
  <si>
    <t>Slutbeholdning af misligholdte lån og forskud</t>
  </si>
  <si>
    <t>Skema EU CR2a: Ændringer i beholdningen af misligholdte lån og forskud og akkumulerede inddrevne nettobeløb i forbindelse hermed</t>
  </si>
  <si>
    <t>Akkumulerede inddrevne nettobeløb i forbindelse hermed</t>
  </si>
  <si>
    <t>Udgående pengestrøm til ikkemisligholdt portefølje</t>
  </si>
  <si>
    <t>Udgående pengestrøm som følge af delvis eller hel tilbagebetaling af lån</t>
  </si>
  <si>
    <t>Udgående pengestrøm som følge af likvidation af sikkerhedsstillelse</t>
  </si>
  <si>
    <t>Udgående pengestrøm som følge af overtagelse af sikkerhedsstillelse</t>
  </si>
  <si>
    <t>Udgående pengestrøm som følge af salg af instrumenter</t>
  </si>
  <si>
    <t>Udgående pengestrøm som følge af risikooverførsler</t>
  </si>
  <si>
    <t>Udgående pengestrøm som følge af omklassificering til besiddelse med henblik på salg</t>
  </si>
  <si>
    <t>Skema EU CQ1: Kreditkvalitet af eksponeringer med kreditlempelser</t>
  </si>
  <si>
    <t>Regnskabsmæssig bruttoværdi/nominel værdi af eksponeringer med kreditlempelser</t>
  </si>
  <si>
    <t>Sikkerhedsstillelser og finansielle garantier modtaget for eksponeringer med kreditlempelser</t>
  </si>
  <si>
    <t>Ikkemisligholdte eksponeringer med kreditlempelser</t>
  </si>
  <si>
    <t>På ikkemisligholdte eksponeringer med kreditlempelser</t>
  </si>
  <si>
    <t>På misligholdte eksponeringer med kreditlempelser</t>
  </si>
  <si>
    <t>Heraf sikkerhedsstillelser og finansielle garantier modtaget for misligholdte eksponeringer med kreditlempelser</t>
  </si>
  <si>
    <t>Afgivne lånetilsagn</t>
  </si>
  <si>
    <t>Skema EU CQ2: Kvalitet af kreditlempelser</t>
  </si>
  <si>
    <t>Regnskabsmæssig bruttoværdi af eksponeringer med kreditlempelser</t>
  </si>
  <si>
    <t>Lån og forskud med kreditlempelser "mere end to gange"</t>
  </si>
  <si>
    <t>Misligholdte lån og forskud med kreditlempelser, som ikke opfyldte kriterierne for ikke længere at blive kategoriseret som misligholdt</t>
  </si>
  <si>
    <t>Skema EU CQ3: Kreditkvalitet af ikkemisligholdte og misligholdte eksponeringer efter forfaldsdage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</si>
  <si>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</si>
  <si>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</si>
  <si>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</si>
  <si>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</si>
  <si>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</si>
  <si>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</si>
  <si>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</si>
  <si>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</si>
  <si>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 xml:space="preserve">      Heraf SMV'er</t>
  </si>
  <si>
    <r>
      <rPr>
        <sz val="8.5"/>
        <color theme="1"/>
        <rFont val="Segoe UI"/>
        <family val="2"/>
      </rPr>
      <t>f</t>
    </r>
    <r>
      <rPr>
        <sz val="8"/>
        <color theme="1"/>
        <rFont val="Calibri"/>
        <family val="2"/>
        <scheme val="minor"/>
      </rPr>
      <t> </t>
    </r>
  </si>
  <si>
    <t>Hensættelser vedrørende ikkebalanceførte afgivne tilsagn og finansielle garantier</t>
  </si>
  <si>
    <t>Akkumulerede negative ændringer i dagsværdi på grund af kreditrisiko vedrørende misligholdte eksponeringer</t>
  </si>
  <si>
    <t>Heraf misligholdte eksponeringer</t>
  </si>
  <si>
    <t>Balanceførte eksponeringer</t>
  </si>
  <si>
    <t>Land 1</t>
  </si>
  <si>
    <t>Land 2</t>
  </si>
  <si>
    <t>Land 3</t>
  </si>
  <si>
    <t>Land 4</t>
  </si>
  <si>
    <t>Land N</t>
  </si>
  <si>
    <t>Andre lande</t>
  </si>
  <si>
    <t>Skema EU CQ5: Kreditkvalitet af lån og forskud til ikkefinansielle selskaber efter branche</t>
  </si>
  <si>
    <t>Regnskabsmæssig bruttoværdi</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</si>
  <si>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</si>
  <si>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</si>
  <si>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</si>
  <si>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</si>
  <si>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</si>
  <si>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</si>
  <si>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</si>
  <si>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</si>
  <si>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</si>
  <si>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</si>
  <si>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</si>
  <si>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</si>
  <si>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</si>
  <si>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</si>
  <si>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</si>
  <si>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</si>
  <si>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</si>
  <si>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</si>
  <si>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</si>
  <si>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</si>
  <si>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 xml:space="preserve">Skema EU CQ6: Værdiansættelse af sikkerhedsstillelse - lån og forskud </t>
  </si>
  <si>
    <t>Ikkemisligholdte</t>
  </si>
  <si>
    <t>Misligholdte</t>
  </si>
  <si>
    <t>Forfaldne &gt; 90 dage</t>
  </si>
  <si>
    <r>
      <rPr>
        <sz val="8.5"/>
        <color theme="1"/>
        <rFont val="Segoe UI"/>
        <family val="2"/>
      </rPr>
      <t>Heraf:</t>
    </r>
    <r>
      <rPr>
        <sz val="8.5"/>
        <color theme="1"/>
        <rFont val="Segoe UI"/>
        <family val="2"/>
      </rPr>
      <t xml:space="preserve"> </t>
    </r>
    <r>
      <rPr>
        <sz val="11"/>
        <color theme="1"/>
        <rFont val="Calibri"/>
        <family val="2"/>
        <scheme val="minor"/>
      </rPr>
      <t>forfaldne &gt; 1 år ≤ 2 år</t>
    </r>
  </si>
  <si>
    <t>Heraf: forfaldne &gt; 2 år ≤ 5 år</t>
  </si>
  <si>
    <t>Heraf: forfaldne &gt; 5 år ≤ 7 år</t>
  </si>
  <si>
    <t>Heraf sikrede</t>
  </si>
  <si>
    <t>Heraf sikret ved pant i fast ejendom</t>
  </si>
  <si>
    <t>Heraf instrumenter med en belåningsgrad på over 60 % og under eller lig med 80 %</t>
  </si>
  <si>
    <t>Heraf instrumenter med en belåningsgrad på over 80 % og under eller lig med 100 %</t>
  </si>
  <si>
    <t>Heraf instrumenter med en belåningsgrad på over 100 %</t>
  </si>
  <si>
    <t>Akkumuleret værdiforringelse for sikrede aktiver</t>
  </si>
  <si>
    <t>Sikkerhedsstillelse</t>
  </si>
  <si>
    <t>Heraf værdi begrænset til eksponeringens værdi</t>
  </si>
  <si>
    <t>Heraf fast ejendom</t>
  </si>
  <si>
    <t>Heraf værdi over loftet</t>
  </si>
  <si>
    <t>Modtagne finansielle garantier</t>
  </si>
  <si>
    <t xml:space="preserve">Skema EU CQ7: Sikkerhedsstillelse opnået gennem overtagelse og fuldbyrdelsesprocesser </t>
  </si>
  <si>
    <t xml:space="preserve">Sikkerhedsstillelse opnået gennem overtagelse </t>
  </si>
  <si>
    <t>Værdi ved første indregning</t>
  </si>
  <si>
    <t>Akkumulerede negative ændringer</t>
  </si>
  <si>
    <t>Materielle anlægsaktiver</t>
  </si>
  <si>
    <t>Bortset fra immaterielle anlægsaktiver</t>
  </si>
  <si>
    <t>Beboelsesejendomme</t>
  </si>
  <si>
    <t>Erhvervsejendomme</t>
  </si>
  <si>
    <t>Løsøre (køretøjer, skibe osv.)</t>
  </si>
  <si>
    <t>Egenkapital- og gældsinstrumenter</t>
  </si>
  <si>
    <t>Anden sikkerhedsstillelse</t>
  </si>
  <si>
    <t>Skema EU CQ8: Sikkerhedsstillelse opnået gennem overtagelse og fuldbyrdelsesprocesser – opdeling efter årgang</t>
  </si>
  <si>
    <t>Gældsbalancereduktion</t>
  </si>
  <si>
    <t>Sikkerhedsstillelse opnået gennem overtagelse i alt</t>
  </si>
  <si>
    <t>Overtaget ≤ 2 år</t>
  </si>
  <si>
    <t>Overtaget &gt; 2 år ≤ 5 år</t>
  </si>
  <si>
    <t>Overtaget &gt; 5 år</t>
  </si>
  <si>
    <t>Heraf anlægsaktiver, som besiddes med henblik på salg</t>
  </si>
  <si>
    <t>Sikkerhedsstillelse opnået ved overtagelse, klassificeret som materielle anlægsaktiver</t>
  </si>
  <si>
    <t>Sikkerhedsstillelse opnået ved overtagelse, bortset fra klassificeret som materielle anlægsaktiver</t>
  </si>
  <si>
    <t>Skema EU CQ4: Kvaliteten af misligholdte eksponeringer efter geografisk placering </t>
  </si>
  <si>
    <t>Skema EU CR3 - Overblik over kreditrisikoreduktionsteknikker  Offentliggørelse af anvendelsen af kreditrisikoreduktionsteknikker</t>
  </si>
  <si>
    <t xml:space="preserve">Usikret regnskabsmæssig værdi </t>
  </si>
  <si>
    <t>Sikret regnskabsmæssig værdi</t>
  </si>
  <si>
    <t xml:space="preserve">Gældsværdipapirer </t>
  </si>
  <si>
    <t>  </t>
  </si>
  <si>
    <t xml:space="preserve">     Heraf misligholdte eksponeringer</t>
  </si>
  <si>
    <t xml:space="preserve">            Heraf misligholdte </t>
  </si>
  <si>
    <t>Skema EU CR4 — Standardmetode — Kreditrisikoeksponering og virkninger af kreditrisikoreduktionsteknikker</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</si>
  <si>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</si>
  <si>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</si>
  <si>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</si>
  <si>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</si>
  <si>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</si>
  <si>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</si>
  <si>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</si>
  <si>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</si>
  <si>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</si>
  <si>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</si>
  <si>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</si>
  <si>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</si>
  <si>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</si>
  <si>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</si>
  <si>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</si>
  <si>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Andre poster</t>
  </si>
  <si>
    <t>I ALT</t>
  </si>
  <si>
    <t>Skema CR5 — Standardmetode</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</si>
  <si>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</si>
  <si>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</si>
  <si>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</si>
  <si>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</si>
  <si>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</si>
  <si>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</si>
  <si>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</si>
  <si>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</si>
  <si>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</si>
  <si>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Skema EU CR6 — IRB-metoden — kreditrisikoeksponeringer efter eksponeringsklasse og PD-interval</t>
  </si>
  <si>
    <t>A-IRB</t>
  </si>
  <si>
    <t>PD-interval</t>
  </si>
  <si>
    <t>Ikkebalanceførte eksponeringer inden anvendelse af kreditkonverteringsfaktorer</t>
  </si>
  <si>
    <t>Eksponeringsvægtet gennemsnitlig kreditkonverteringsfaktor</t>
  </si>
  <si>
    <t>Eksponeringsvægtet gennemsnitlig PD (%)</t>
  </si>
  <si>
    <t>Antal låntagere</t>
  </si>
  <si>
    <t>Eksponeringsvægtet gennemsnitlig LGD (%)</t>
  </si>
  <si>
    <t>Eksponeringsvægtet gennemsnitlig løbetid (år)</t>
  </si>
  <si>
    <t>Risikovægtet eksponering efter anvendelse af støttefaktorer</t>
  </si>
  <si>
    <t>Densitet af risikovægtede eksponeringer</t>
  </si>
  <si>
    <t>Værdi af forventede tab</t>
  </si>
  <si>
    <t>Værdijusteringer og hensættelser</t>
  </si>
  <si>
    <t>Eksponeringsklasse X</t>
  </si>
  <si>
    <t>0,00 til &lt;0,15</t>
  </si>
  <si>
    <t>0,00 til &lt;0,10</t>
  </si>
  <si>
    <t>0,10 til &lt;0,15</t>
  </si>
  <si>
    <t>0,15 til &lt;0,25</t>
  </si>
  <si>
    <t>0,25 til &lt;0,50</t>
  </si>
  <si>
    <t>0,50 til &lt;0,75</t>
  </si>
  <si>
    <t>0,75 til &lt;2,50</t>
  </si>
  <si>
    <t>0,75 til &lt;1,75</t>
  </si>
  <si>
    <t>1,75 til &lt;2,5</t>
  </si>
  <si>
    <t>2,50 til &lt;10,00</t>
  </si>
  <si>
    <t>2,5 til &lt;5</t>
  </si>
  <si>
    <t>5 til &lt;10</t>
  </si>
  <si>
    <t>10,00 til &lt;100,00</t>
  </si>
  <si>
    <t>10 til &lt;20</t>
  </si>
  <si>
    <t>20 til &lt;30</t>
  </si>
  <si>
    <t>30,00 til &lt;100,00</t>
  </si>
  <si>
    <t>100,00 (misligholdelse)</t>
  </si>
  <si>
    <t>Subtotal (eksponeringsklasse)</t>
  </si>
  <si>
    <t>Total (alle eksponeringsklasser)</t>
  </si>
  <si>
    <t>F-IRB</t>
  </si>
  <si>
    <t>Skema EU CR6-A – IRB-metoden – anvendelsesområdet for IRB-metoden og SA-metoden</t>
  </si>
  <si>
    <t>Eksponeringsværdi som defineret i artikel 166 i CRR for eksponeringer omfattet af IRB-metoden</t>
  </si>
  <si>
    <t>Samlet eksponeringsværdi for eksponeringer omfattet af standardmetoden og IRB-metoden</t>
  </si>
  <si>
    <t>Procentdel af den samlede eksponeringsværdi omfattet af en permanent delvis anvendelse af SA (%)</t>
  </si>
  <si>
    <t>Procentdel af den samlede eksponeringsværdi, der er omfattet af IRB-metoden (%)</t>
  </si>
  <si>
    <t>Procentdel af den samlede eksponeringsværdi, der er omfattet af en roll-out-plan (%)</t>
  </si>
  <si>
    <t xml:space="preserve">Centralregeringer eller centralbanker </t>
  </si>
  <si>
    <t xml:space="preserve">Heraf regionale eller lokale myndigheder </t>
  </si>
  <si>
    <t xml:space="preserve">Heraf offentlige enheder </t>
  </si>
  <si>
    <t>Heraf selskaber — specialiseret långivning, eksklusive omfattet af kategoriseringsmetoden</t>
  </si>
  <si>
    <t>Heraf selskaber — specialiseret långivning omfattet af kategoriseringsmetoden</t>
  </si>
  <si>
    <t>heraf detail — sikret ved pant i fast ejendom SMV'er</t>
  </si>
  <si>
    <t>heraf detail — sikret ved pant i fast ejendom ikke-SMV'er</t>
  </si>
  <si>
    <t>Heraf detail — kvalificeret revolverende</t>
  </si>
  <si>
    <t>Heraf detail — andre SMV'er</t>
  </si>
  <si>
    <t>Heraf detail — andre ikke-SMV'er</t>
  </si>
  <si>
    <t>Andre aktiver, der ikke er gældsforpligtelser</t>
  </si>
  <si>
    <t xml:space="preserve">I alt </t>
  </si>
  <si>
    <t>Skema EU CR7 – IRB-metoden – Virkning af kreditderivater anvendt som CRM-teknikker på de risikovægtede eksponeringer</t>
  </si>
  <si>
    <t>Risikovægtede eksponeringer inden kreditderivater</t>
  </si>
  <si>
    <t>Værdien af den faktiske risikovægtede eksponering</t>
  </si>
  <si>
    <t>Eksponeringer omfattet af F-IRB</t>
  </si>
  <si>
    <t>Centralregeringer og centralbanker</t>
  </si>
  <si>
    <t xml:space="preserve">Selskaber </t>
  </si>
  <si>
    <t>Heraf selskaber — SMV'er</t>
  </si>
  <si>
    <t>Heraf selskaber — specialiseret långivning</t>
  </si>
  <si>
    <t>Eksponeringer omfattet af A-IRB</t>
  </si>
  <si>
    <t xml:space="preserve">  </t>
  </si>
  <si>
    <t xml:space="preserve">heraf detail — SMV'er — med sikkerhed i fast ejendom </t>
  </si>
  <si>
    <t>heraf detail — ikke-SMV'er — med sikkerhed i fast ejendom</t>
  </si>
  <si>
    <t>heraf detail — SMV'er —andre</t>
  </si>
  <si>
    <t>heraf detail — ikke-SMV'er —andre</t>
  </si>
  <si>
    <t>I ALT (herunder F-IRB-eksponeringer og A-IRB-eksponeringer)</t>
  </si>
  <si>
    <t>Skema EU CR7-A – IRB-metoden – Offentliggørelse af omfanget af anvendelsen af kreditrisikoreduktionsteknikker</t>
  </si>
  <si>
    <t xml:space="preserve">Samlede eksponeringer
</t>
  </si>
  <si>
    <t>Kreditrisikoreduktionsteknikker</t>
  </si>
  <si>
    <t>Kreditrisikoreduktionsteknikker ved beregningen af risikovægtede eksponeringer</t>
  </si>
  <si>
    <t>Finansieret kreditrisikoafdækning (FCP)</t>
  </si>
  <si>
    <r>
      <rPr>
        <sz val="8.5"/>
        <color theme="1"/>
        <rFont val="Segoe UI"/>
        <family val="2"/>
      </rPr>
      <t xml:space="preserve"> </t>
    </r>
    <r>
      <rPr>
        <sz val="8.5"/>
        <color theme="1"/>
        <rFont val="Segoe UI"/>
        <family val="2"/>
      </rPr>
      <t>Ufinansieret kreditrisikoafdækning (UFCP)</t>
    </r>
  </si>
  <si>
    <r>
      <rPr>
        <b/>
        <sz val="8.5"/>
        <color theme="1"/>
        <rFont val="Segoe UI"/>
        <family val="2"/>
      </rPr>
      <t>Risikovægtede eksponeringer uden substitutionsvirkninger</t>
    </r>
    <r>
      <rPr>
        <b/>
        <sz val="8.5"/>
        <color theme="1"/>
        <rFont val="Segoe UI"/>
        <family val="2"/>
      </rPr>
      <t xml:space="preserve">
</t>
    </r>
    <r>
      <rPr>
        <sz val="8.5"/>
        <color theme="1"/>
        <rFont val="Segoe UI"/>
        <family val="2"/>
      </rPr>
      <t>(kun reduktionsvirkninger)</t>
    </r>
    <r>
      <rPr>
        <sz val="8.5"/>
        <color theme="1"/>
        <rFont val="Segoe UI"/>
        <family val="2"/>
      </rPr>
      <t xml:space="preserve">
</t>
    </r>
  </si>
  <si>
    <r>
      <rPr>
        <b/>
        <sz val="8.5"/>
        <color theme="1"/>
        <rFont val="Segoe UI"/>
        <family val="2"/>
      </rPr>
      <t>Risikovægtede eksponeringer med substitutionsvirkninger</t>
    </r>
    <r>
      <rPr>
        <b/>
        <sz val="8.5"/>
        <color theme="1"/>
        <rFont val="Segoe UI"/>
        <family val="2"/>
      </rPr>
      <t xml:space="preserve">
</t>
    </r>
    <r>
      <rPr>
        <sz val="8.5"/>
        <color theme="1"/>
        <rFont val="Segoe UI"/>
        <family val="2"/>
      </rPr>
      <t>(både reduktions- og substitutionsvirkninger)</t>
    </r>
    <r>
      <rPr>
        <b/>
        <sz val="8.5"/>
        <color theme="1"/>
        <rFont val="Segoe UI"/>
        <family val="2"/>
      </rPr>
      <t xml:space="preserve">
</t>
    </r>
  </si>
  <si>
    <r>
      <rPr>
        <sz val="8.5"/>
        <color theme="1"/>
        <rFont val="Segoe UI"/>
        <family val="2"/>
      </rPr>
      <t xml:space="preserve"> 
</t>
    </r>
    <r>
      <rPr>
        <sz val="8.5"/>
        <color theme="1"/>
        <rFont val="Segoe UI"/>
        <family val="2"/>
      </rPr>
      <t xml:space="preserve">Andel af eksponeringer, der dækkes af </t>
    </r>
    <r>
      <rPr>
        <b/>
        <sz val="8.5"/>
        <color theme="1"/>
        <rFont val="Segoe UI"/>
        <family val="2"/>
      </rPr>
      <t>finansiel sikkerhedsstillelse (%)</t>
    </r>
  </si>
  <si>
    <r>
      <rPr>
        <sz val="8.5"/>
        <color theme="1"/>
        <rFont val="Segoe UI"/>
        <family val="2"/>
      </rPr>
      <t xml:space="preserve">Andel af eksponeringer, der dækkes af </t>
    </r>
    <r>
      <rPr>
        <b/>
        <sz val="8.5"/>
        <color theme="1"/>
        <rFont val="Segoe UI"/>
        <family val="2"/>
      </rPr>
      <t>anden anerkendt sikkerhedsstillelse (%)</t>
    </r>
  </si>
  <si>
    <r>
      <rPr>
        <sz val="8.5"/>
        <color theme="1"/>
        <rFont val="Segoe UI"/>
        <family val="2"/>
      </rPr>
      <t xml:space="preserve">Andel af eksponeringer, der dækkes af </t>
    </r>
    <r>
      <rPr>
        <b/>
        <sz val="8.5"/>
        <color theme="1"/>
        <rFont val="Segoe UI"/>
        <family val="2"/>
      </rPr>
      <t>anden finansieret kreditrisikoafdækning (%)</t>
    </r>
  </si>
  <si>
    <r>
      <rPr>
        <sz val="8.5"/>
        <color theme="1"/>
        <rFont val="Segoe UI"/>
        <family val="2"/>
      </rPr>
      <t xml:space="preserve">
</t>
    </r>
    <r>
      <rPr>
        <sz val="8.5"/>
        <color theme="1"/>
        <rFont val="Segoe UI"/>
        <family val="2"/>
      </rPr>
      <t xml:space="preserve">Andel af eksponeringer, der dækkes af </t>
    </r>
    <r>
      <rPr>
        <b/>
        <sz val="8.5"/>
        <color theme="1"/>
        <rFont val="Segoe UI"/>
        <family val="2"/>
      </rPr>
      <t>garantier (%)</t>
    </r>
  </si>
  <si>
    <r>
      <rPr>
        <sz val="8.5"/>
        <color theme="1"/>
        <rFont val="Segoe UI"/>
        <family val="2"/>
      </rPr>
      <t xml:space="preserve">Andel af eksponeringer, der dækkes af </t>
    </r>
    <r>
      <rPr>
        <b/>
        <sz val="8.5"/>
        <color theme="1"/>
        <rFont val="Segoe UI"/>
        <family val="2"/>
      </rPr>
      <t>kreditderivater</t>
    </r>
    <r>
      <rPr>
        <sz val="8.5"/>
        <color theme="1"/>
        <rFont val="Segoe UI"/>
        <family val="2"/>
      </rPr>
      <t xml:space="preserve"> (%)</t>
    </r>
  </si>
  <si>
    <r>
      <rPr>
        <sz val="8.5"/>
        <color theme="1"/>
        <rFont val="Segoe UI"/>
        <family val="2"/>
      </rPr>
      <t xml:space="preserve">Andel af eksponeringer, der dækkes af </t>
    </r>
    <r>
      <rPr>
        <b/>
        <sz val="8.5"/>
        <color theme="1"/>
        <rFont val="Segoe UI"/>
        <family val="2"/>
      </rPr>
      <t>sikkerhed i fast ejendom (%)</t>
    </r>
  </si>
  <si>
    <r>
      <rPr>
        <sz val="8.5"/>
        <color theme="1"/>
        <rFont val="Segoe UI"/>
        <family val="2"/>
      </rPr>
      <t xml:space="preserve">Andel af eksponeringer, der dækkes af </t>
    </r>
    <r>
      <rPr>
        <b/>
        <sz val="8.5"/>
        <color theme="1"/>
        <rFont val="Segoe UI"/>
        <family val="2"/>
      </rPr>
      <t>fordringer (%)</t>
    </r>
  </si>
  <si>
    <r>
      <rPr>
        <sz val="8.5"/>
        <color theme="1"/>
        <rFont val="Segoe UI"/>
        <family val="2"/>
      </rPr>
      <t xml:space="preserve">Andel af eksponeringer, der dækkes af </t>
    </r>
    <r>
      <rPr>
        <b/>
        <sz val="8.5"/>
        <color theme="1"/>
        <rFont val="Segoe UI"/>
        <family val="2"/>
      </rPr>
      <t>anden fysisk sikkerhed (%)</t>
    </r>
  </si>
  <si>
    <r>
      <rPr>
        <sz val="8.5"/>
        <color theme="1"/>
        <rFont val="Segoe UI"/>
        <family val="2"/>
      </rPr>
      <t xml:space="preserve">Andel af eksponeringer, der dækkes af </t>
    </r>
    <r>
      <rPr>
        <b/>
        <sz val="8.5"/>
        <color theme="1"/>
        <rFont val="Segoe UI"/>
        <family val="2"/>
      </rPr>
      <t>kontant indlån (%)</t>
    </r>
  </si>
  <si>
    <r>
      <rPr>
        <sz val="8.5"/>
        <color theme="1"/>
        <rFont val="Segoe UI"/>
        <family val="2"/>
      </rPr>
      <t xml:space="preserve">Andel af eksponeringer, der dækkes af </t>
    </r>
    <r>
      <rPr>
        <b/>
        <sz val="8.5"/>
        <color theme="1"/>
        <rFont val="Segoe UI"/>
        <family val="2"/>
      </rPr>
      <t>livsforsikringspolicer (%)</t>
    </r>
  </si>
  <si>
    <r>
      <rPr>
        <sz val="8.5"/>
        <color theme="1"/>
        <rFont val="Segoe UI"/>
        <family val="2"/>
      </rPr>
      <t xml:space="preserve">Andel af eksponeringer, der dækkes af </t>
    </r>
    <r>
      <rPr>
        <b/>
        <sz val="8.5"/>
        <color theme="1"/>
        <rFont val="Segoe UI"/>
        <family val="2"/>
      </rPr>
      <t>instrumenter, som besiddes af tredjepart (%)</t>
    </r>
  </si>
  <si>
    <t>Heraf selskaber — andre</t>
  </si>
  <si>
    <t>Heraf detail — fast ejendom SMV'er</t>
  </si>
  <si>
    <t>Heraf detail — fast ejendom ikke-SMV'er</t>
  </si>
  <si>
    <t xml:space="preserve">Skema EU CR8 - RWEA-flowtabeller for kreditrisikoeksponeringer i henhold til IRB-metoden. </t>
  </si>
  <si>
    <t>Risikovægtet eksponering</t>
  </si>
  <si>
    <t>Risikovægtet eksponering ved udgangen af den foregående indberetningsperiode</t>
  </si>
  <si>
    <t>Aktivernes størrelse (+/-)</t>
  </si>
  <si>
    <t>Aktivernes kvalitet (+/-)</t>
  </si>
  <si>
    <t>Opdateringer af modeller (+/-)</t>
  </si>
  <si>
    <t>Metode og politik (+/-)</t>
  </si>
  <si>
    <t>Anskaffelser og afhændelser (+/-)</t>
  </si>
  <si>
    <t>Valutakursændringer (+/-)</t>
  </si>
  <si>
    <t>Andre faktorer (+/-)</t>
  </si>
  <si>
    <t>Risikovægtet eksponering ved udgangen af indberetningsperioden</t>
  </si>
  <si>
    <t>Skema CR9 –IRB-metoden – Back-testing af PD efter eksponeringsklasse. (fastsat PD-skala)</t>
  </si>
  <si>
    <t>Eksponeringsklasse</t>
  </si>
  <si>
    <t>Antal låntagere ved udgangen af det foregående år</t>
  </si>
  <si>
    <t>Den observerede gennemsnitlige misligholdelsesrate (%)</t>
  </si>
  <si>
    <t>Gennemsnitlig PD (%)</t>
  </si>
  <si>
    <t>Gennemsnitlig historisk årlig misligholdelsesrate (%)</t>
  </si>
  <si>
    <t>Heraf antal låntagere, der misligholdt i løbet af året</t>
  </si>
  <si>
    <t>Gennemsnitlig PD</t>
  </si>
  <si>
    <t>Skema CR9.1 – IRB metoden – Back-testing af PD efter eksponeringsklasse (kun for PD-estimater i henhold til artikel 180, stk. 1, litra f), i CRR)</t>
  </si>
  <si>
    <t>Tilsvarende ekstern rating</t>
  </si>
  <si>
    <t>Skema EU CR10 – Specialiseret långivning og aktieeksponeringer i henhold til den forenklede risikovægtningsmetode</t>
  </si>
  <si>
    <t>Skema EU CR10.1</t>
  </si>
  <si>
    <t>Specialiseret långivning: projektfinansiering (kategoriseringsmetode)</t>
  </si>
  <si>
    <t>Lovbestemte kategorier</t>
  </si>
  <si>
    <t>Restløbetid</t>
  </si>
  <si>
    <t>Balanceført eksponering</t>
  </si>
  <si>
    <t>Ikkebalanceført eksponering</t>
  </si>
  <si>
    <t>Kategori 1</t>
  </si>
  <si>
    <t>Under 2,5 år</t>
  </si>
  <si>
    <t>Lig med eller over 2,5 år</t>
  </si>
  <si>
    <t>Kategori 2</t>
  </si>
  <si>
    <t>Kategori 3</t>
  </si>
  <si>
    <t>Kategori 4</t>
  </si>
  <si>
    <t>Kategori 5</t>
  </si>
  <si>
    <t>-</t>
  </si>
  <si>
    <t>Skema EU CR10.2</t>
  </si>
  <si>
    <t>Specialiseret långivning: Indtægtsgenerende fast ejendom og erhvervsejendomme med høj volatilitet (kategoriseringsmetode)</t>
  </si>
  <si>
    <t>Skema EU CR10.3</t>
  </si>
  <si>
    <t>Specialiseret långivning: Objektfinansiering (kategoriseringsmetode)</t>
  </si>
  <si>
    <t>Skema EU CR10.4</t>
  </si>
  <si>
    <t>Specialiseret långivning: Råvarefinansiering (kategoriseringsmetode)</t>
  </si>
  <si>
    <t>Skema EU CR10.5</t>
  </si>
  <si>
    <t>Aktieeksponeringer i henhold til den forenklede risikovægtningsmetode</t>
  </si>
  <si>
    <t>Kategorier</t>
  </si>
  <si>
    <t>Private equity-eksponeringer</t>
  </si>
  <si>
    <t>Børsnoterede eksponeringer</t>
  </si>
  <si>
    <t>Andre aktieeksponeringer</t>
  </si>
  <si>
    <t>Skema EU CCR1 - Analyse af modpartskreditrisikoeksponeringer efter metode</t>
  </si>
  <si>
    <t>Fast format.</t>
  </si>
  <si>
    <t>Genanskaffelsesomkostninger</t>
  </si>
  <si>
    <t>Potentiel fremtidig eksponering</t>
  </si>
  <si>
    <t>EU — Den oprindelige eksponeringsmetode (for derivater)</t>
  </si>
  <si>
    <t>1,4</t>
  </si>
  <si>
    <t>EU — forenklet standardmetode for modpartskreditrisiko (for derivater)</t>
  </si>
  <si>
    <t>Standardmetode for modpartskreditrisiko (for derivater)</t>
  </si>
  <si>
    <t>Metoden med interne modeller (for derivater og værdipapirfinansieringstransaktioner)</t>
  </si>
  <si>
    <t>2a</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</si>
  <si>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</si>
  <si>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</si>
  <si>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</si>
  <si>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</si>
  <si>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</si>
  <si>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</si>
  <si>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</si>
  <si>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</si>
  <si>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</si>
  <si>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</si>
  <si>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</si>
  <si>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</si>
  <si>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</si>
  <si>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 xml:space="preserve">Samlet antal transaktioner underlagt kapitalgrundlagskrav for kreditværdijusteringsrisiko </t>
  </si>
  <si>
    <t>Skema EU CCR3 — standardmetoden — modpartskreditrisikoeksponeringer efter eksponeringsklasse og risikovægte</t>
  </si>
  <si>
    <t>Eksponeringsklasser</t>
  </si>
  <si>
    <t xml:space="preserve">Regionale eller lokale myndigheder </t>
  </si>
  <si>
    <t>Skema EU CCR4 — IRB-metoden — modpartskreditrisikoeksponeringer efter eksponeringsklasse og PD-skala</t>
  </si>
  <si>
    <t>PD-skala</t>
  </si>
  <si>
    <t>1 … x</t>
  </si>
  <si>
    <t>x</t>
  </si>
  <si>
    <t>Subtotal (eksponeringsklasse X)</t>
  </si>
  <si>
    <t>y</t>
  </si>
  <si>
    <t>I alt (alle relevante modpartskreditrisikoeksponeringsklasser)</t>
  </si>
  <si>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</si>
  <si>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</si>
  <si>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</si>
  <si>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</si>
  <si>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</si>
  <si>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</si>
  <si>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</si>
  <si>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</si>
  <si>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</si>
  <si>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</si>
  <si>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</si>
  <si>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</si>
  <si>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</si>
  <si>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</si>
  <si>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</si>
  <si>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Skema EU CCR6 – Eksponering for kreditderivater</t>
  </si>
  <si>
    <t>Faste</t>
  </si>
  <si>
    <t>Købt afdækning</t>
  </si>
  <si>
    <t>Solgt afdækning</t>
  </si>
  <si>
    <t>Notionelle værdier</t>
  </si>
  <si>
    <t>Single name credit default swaps</t>
  </si>
  <si>
    <t>Indeksebaserede credit default swaps</t>
  </si>
  <si>
    <t>Total return swaps</t>
  </si>
  <si>
    <t>Kreditoptioner</t>
  </si>
  <si>
    <t>Andre kreditderivater</t>
  </si>
  <si>
    <t>Notionelle værdier i alt</t>
  </si>
  <si>
    <t>Dagsværdier</t>
  </si>
  <si>
    <t>Positiv dagsværdi (aktiv)</t>
  </si>
  <si>
    <t>Negativ dagsværdi (forpligtelse)</t>
  </si>
  <si>
    <t>Skema EU CCR7 - RWEA-flowtabeller for markedsrisikoeksponeringer i henhold til IMM</t>
  </si>
  <si>
    <t>Risikovægtede eksponeringer ved afslutningen af den foregående offentliggørelsesperiode</t>
  </si>
  <si>
    <t>Aktivernes størrelse</t>
  </si>
  <si>
    <t>Modparternes kreditkvalitet</t>
  </si>
  <si>
    <t>Opdateringer af modeller (kun metoden med interne modeller)</t>
  </si>
  <si>
    <t>Metodologi og politik (kun metoden med interne modeller)</t>
  </si>
  <si>
    <t>Anskaffelser og afhændelser</t>
  </si>
  <si>
    <t>Valutabevægelser</t>
  </si>
  <si>
    <t>Andet</t>
  </si>
  <si>
    <t>Risikovægtede eksponeringer ved afslutningen af den indeværende offentliggørelsesperiode</t>
  </si>
  <si>
    <t>Skema EU CCR8 -Modpartskreditrisikoeksponeringer</t>
  </si>
  <si>
    <t xml:space="preserve">Eksponeringsværdi </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</si>
  <si>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</si>
  <si>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</si>
  <si>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</si>
  <si>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</si>
  <si>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</si>
  <si>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</si>
  <si>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Adskilt initialmargen</t>
  </si>
  <si>
    <t>Ikkeadskilt initialmargen</t>
  </si>
  <si>
    <t>Indbetalte bidrag til misligholdelsesfonde</t>
  </si>
  <si>
    <t>Ikke-indbetalte bidrag til misligholdelsesfonde</t>
  </si>
  <si>
    <t>Eksponeringer mod ikke-QCCP'er (i alt)</t>
  </si>
  <si>
    <t>Eksponeringer for handel hos ikke-QCCP'er (undtagen initialmargen og bidrag til misligholdelsesfond) heraf</t>
  </si>
  <si>
    <t>Skema EU CCR5 — Sammensætning af sikkerhedsstillelse for modpartskreditrisikoeksponeringer</t>
  </si>
  <si>
    <t>Instituttet optræder som eksponeringsleverende institut</t>
  </si>
  <si>
    <t>Instituttet optræder som organiserende institut</t>
  </si>
  <si>
    <t>Instituttet optræder som investor</t>
  </si>
  <si>
    <t>Traditionel</t>
  </si>
  <si>
    <t>Syntetisk</t>
  </si>
  <si>
    <t>Subtotal</t>
  </si>
  <si>
    <t>STS</t>
  </si>
  <si>
    <t>Ikke-STS</t>
  </si>
  <si>
    <t>heraf væsentlig risikooverførsel</t>
  </si>
  <si>
    <t>Samlede eksponeringer</t>
  </si>
  <si>
    <t>Detail (i alt)</t>
  </si>
  <si>
    <t xml:space="preserve">   realkreditlån i beboelsesejendomme</t>
  </si>
  <si>
    <t xml:space="preserve">   kreditkort</t>
  </si>
  <si>
    <t xml:space="preserve">   andre detaileksponeringer </t>
  </si>
  <si>
    <t xml:space="preserve">   resecuritisering</t>
  </si>
  <si>
    <t>Engros (i alt)</t>
  </si>
  <si>
    <t xml:space="preserve">   lån til selskaber</t>
  </si>
  <si>
    <t xml:space="preserve">   realkreditlån i erhvervsejendomme </t>
  </si>
  <si>
    <t xml:space="preserve">   leasing og tilgodehavender</t>
  </si>
  <si>
    <t xml:space="preserve">   øvrig engros</t>
  </si>
  <si>
    <t>Skema EU-SEC2 - Securitiseringseksponeringer i handelsbeholdningen</t>
  </si>
  <si>
    <t>Skema EU-SEC3 - Securitiseringseksponeringer uden for handelsbeholdningen og tilknyttede lovbestemte kapitalkrav - instituttet optræder som eksponeringsleverende eller organiserende institut</t>
  </si>
  <si>
    <t>EU-p</t>
  </si>
  <si>
    <t>EU-q</t>
  </si>
  <si>
    <t>Eksponeringsværdier (efter risikovægtintervaller/fradrag)</t>
  </si>
  <si>
    <t>Eksponeringsværdier (efter lovgivningsmæssig fremgangsmåde)</t>
  </si>
  <si>
    <t>Risikovægtede eksponeringer (efter lovgivningsmæssig fremgangsmåde)</t>
  </si>
  <si>
    <t>Kapitalkrav efter loft</t>
  </si>
  <si>
    <t>≤ 20 % risikovægt</t>
  </si>
  <si>
    <t xml:space="preserve"> &gt; 20 % til 50 % risikovægt</t>
  </si>
  <si>
    <t xml:space="preserve"> &gt; 50 % til 100 %           risikovægt</t>
  </si>
  <si>
    <t xml:space="preserve"> &gt; 100 % til &lt; 1 250 %     risikovægt</t>
  </si>
  <si>
    <t>1 250 % risikovægt/fradrag</t>
  </si>
  <si>
    <t>SEC-IRBA</t>
  </si>
  <si>
    <t>SEC-ERBA
(inklusive IAA)</t>
  </si>
  <si>
    <t>SEC-SA</t>
  </si>
  <si>
    <t>1 250 % risikovægt/
fradrag</t>
  </si>
  <si>
    <t xml:space="preserve">Traditionelle transaktioner </t>
  </si>
  <si>
    <t xml:space="preserve">   Securitisering</t>
  </si>
  <si>
    <t xml:space="preserve">       Detail</t>
  </si>
  <si>
    <t xml:space="preserve">       Heraf STS</t>
  </si>
  <si>
    <t xml:space="preserve">       Engros</t>
  </si>
  <si>
    <t xml:space="preserve">   Resecuritisering</t>
  </si>
  <si>
    <t xml:space="preserve">Syntetiske transaktioner </t>
  </si>
  <si>
    <t xml:space="preserve">       Detail, underliggende</t>
  </si>
  <si>
    <t>Skema EU-SEC4 - Securitiseringseksponeringer uden for handelsbeholdningen og tilknyttede lovpligtige kapitalkrav - instituttet optræder som investorinstitut</t>
  </si>
  <si>
    <t xml:space="preserve">Traditionel securitisering </t>
  </si>
  <si>
    <t xml:space="preserve">Syntetisk securitisering </t>
  </si>
  <si>
    <t>Skema EU-SEC5 - Eksponeringer securitiseret af instituttet - Misligholdte eksponeringer og specifikke kreditrisikojusteringer</t>
  </si>
  <si>
    <t>Eksponeringer securitiseret af instituttet — Instituttet handler som eksponeringsleverende eller organiserende institut</t>
  </si>
  <si>
    <t>Samlet udestående nominelt beløb</t>
  </si>
  <si>
    <t>Samlet beløb for specifikke kreditrisikojusteringer foretaget i løbet af perioden</t>
  </si>
  <si>
    <t>Skema EU-SEC1 - Securitiseringseksponeringer uden for handelsbeholdningen</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</si>
  <si>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</si>
  <si>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</si>
  <si>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</si>
  <si>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</si>
  <si>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</si>
  <si>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</si>
  <si>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</si>
  <si>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</si>
  <si>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</si>
  <si>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</si>
  <si>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</si>
  <si>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Skema EU MR2-A - Markedsrisiko i henhold til metoden med interne modeller (IMA)</t>
  </si>
  <si>
    <r>
      <rPr>
        <b/>
        <sz val="10"/>
        <color theme="1"/>
        <rFont val="Arial"/>
        <family val="2"/>
      </rPr>
      <t>VaR</t>
    </r>
    <r>
      <rPr>
        <sz val="10"/>
        <color theme="1"/>
        <rFont val="Arial"/>
        <family val="2"/>
      </rPr>
      <t xml:space="preserve"> (den højeste af værdierne a og b)</t>
    </r>
  </si>
  <si>
    <t>a)</t>
  </si>
  <si>
    <r>
      <rPr>
        <sz val="11"/>
        <color theme="1"/>
        <rFont val="Arial"/>
        <family val="2"/>
      </rPr>
      <t>Foregående dags VaR (VaRt-1)</t>
    </r>
    <r>
      <rPr>
        <sz val="10"/>
        <color theme="1"/>
        <rFont val="Arial"/>
        <family val="2"/>
      </rPr>
      <t xml:space="preserve"> </t>
    </r>
  </si>
  <si>
    <t>b)</t>
  </si>
  <si>
    <t>Multiplikationsfaktor (mc) x gennemsnit for de foregående 60 arbejdsdage (VaRavg)</t>
  </si>
  <si>
    <r>
      <rPr>
        <b/>
        <sz val="10"/>
        <color theme="1"/>
        <rFont val="Arial"/>
        <family val="2"/>
      </rPr>
      <t xml:space="preserve">SVaR </t>
    </r>
    <r>
      <rPr>
        <sz val="10"/>
        <color theme="1"/>
        <rFont val="Arial"/>
        <family val="2"/>
      </rPr>
      <t>(den højeste af værdierne a og b)</t>
    </r>
  </si>
  <si>
    <r>
      <rPr>
        <sz val="11"/>
        <color theme="1"/>
        <rFont val="Arial"/>
        <family val="2"/>
      </rPr>
      <t>Den seneste tilgængelige SVaR (SVaRt-1)</t>
    </r>
  </si>
  <si>
    <r>
      <rPr>
        <sz val="11"/>
        <color theme="1"/>
        <rFont val="Arial"/>
        <family val="2"/>
      </rPr>
      <t>Multiplikationsfaktor (ms) x gennemsnit for de foregående 60 arbejdsdage (sVaRavg)</t>
    </r>
  </si>
  <si>
    <r>
      <rPr>
        <b/>
        <sz val="10"/>
        <color theme="1"/>
        <rFont val="Arial"/>
        <family val="2"/>
      </rPr>
      <t>IRC</t>
    </r>
    <r>
      <rPr>
        <sz val="10"/>
        <color theme="1"/>
        <rFont val="Arial"/>
        <family val="2"/>
      </rPr>
      <t xml:space="preserve"> (den højeste af værdierne a og b)</t>
    </r>
  </si>
  <si>
    <t>Seneste måling af forøget misligholdelses- og migreringsrisiko</t>
  </si>
  <si>
    <t>Gennemsnit af måling af forøget misligholdelses- og migreringsrisiko over 12 uger</t>
  </si>
  <si>
    <r>
      <rPr>
        <b/>
        <sz val="10"/>
        <color theme="1"/>
        <rFont val="Arial"/>
        <family val="2"/>
      </rPr>
      <t>Omfattende risikomåling</t>
    </r>
    <r>
      <rPr>
        <sz val="10"/>
        <color theme="1"/>
        <rFont val="Arial"/>
        <family val="2"/>
      </rPr>
      <t xml:space="preserve"> (den højeste af værdierne a og b)</t>
    </r>
  </si>
  <si>
    <t>Seneste risikomåling af omfattende risikomåling</t>
  </si>
  <si>
    <t>Gennemsnit af måling af omfattende risikomåling over 12 uger</t>
  </si>
  <si>
    <t>c)</t>
  </si>
  <si>
    <t>Omfattende risikomåling — nedre grænse</t>
  </si>
  <si>
    <t xml:space="preserve">Andet </t>
  </si>
  <si>
    <t>Skema EU MR2-B - RWEA-flowtabeller for markedsrisikoeksponeringer i henhold til IMA</t>
  </si>
  <si>
    <t>VaR</t>
  </si>
  <si>
    <t>SVaR</t>
  </si>
  <si>
    <t>IRC</t>
  </si>
  <si>
    <t>Omfattende risikomåling</t>
  </si>
  <si>
    <t>Risikovægtede eksponeringer i alt</t>
  </si>
  <si>
    <t xml:space="preserve">Risikovægtede eksponeringer ved afslutningen af den foregående periode </t>
  </si>
  <si>
    <t>1a</t>
  </si>
  <si>
    <t>Lovpligtig justering</t>
  </si>
  <si>
    <t>1b</t>
  </si>
  <si>
    <t xml:space="preserve">Risikovægtede eksponeringer ved afslutningen af foregående kvartal (afslutning af dagen) </t>
  </si>
  <si>
    <t xml:space="preserve">Bevægelse i risikoniveauer </t>
  </si>
  <si>
    <t xml:space="preserve">Modelopdateringer/-ændringer </t>
  </si>
  <si>
    <t>Metode og politik</t>
  </si>
  <si>
    <t xml:space="preserve">Anskaffelser og afhændelser </t>
  </si>
  <si>
    <t xml:space="preserve">Valutabevægelser </t>
  </si>
  <si>
    <t>8a</t>
  </si>
  <si>
    <t xml:space="preserve">Risikovægtede eksponeringer ved afslutningen af offentliggørelsesperioden (afslutning af dagen) </t>
  </si>
  <si>
    <t>8b</t>
  </si>
  <si>
    <t xml:space="preserve">Risikovægtede eksponeringer ved afslutningen af offentliggørelsesperioden </t>
  </si>
  <si>
    <t>Skema EU MR3 - IMA-værdier for handelsporteføljer</t>
  </si>
  <si>
    <t xml:space="preserve">VaR (10 dage, 99 %) </t>
  </si>
  <si>
    <t>Maksimumsværdi</t>
  </si>
  <si>
    <t>Gennemsnitsværdi</t>
  </si>
  <si>
    <t xml:space="preserve">Minimumsværdi </t>
  </si>
  <si>
    <t>Afslutning af periode</t>
  </si>
  <si>
    <t>SVaR (10 dage, 99 %)</t>
  </si>
  <si>
    <t>IRC (99,9 %)</t>
  </si>
  <si>
    <t xml:space="preserve">Omfattende risikomåling (99,9 %) </t>
  </si>
  <si>
    <t>Skema EU MR4 - Sammenligning af VaR-estimater med gevinster/tab</t>
  </si>
  <si>
    <r>
      <rPr>
        <sz val="11"/>
        <color theme="1"/>
        <rFont val="Calibri"/>
        <family val="2"/>
        <scheme val="minor"/>
      </rPr>
      <t xml:space="preserve">Institutterne skal præsentere en analyse af "afvigelser" (undtagelser til backtesting i overensstemmelse med artikel 366 i CRR) i backtestede resultater </t>
    </r>
    <r>
      <rPr>
        <i/>
        <sz val="11"/>
        <color theme="1"/>
        <rFont val="Calibri"/>
        <family val="2"/>
        <scheme val="minor"/>
      </rPr>
      <t>og specificere datoerne og det dertil svarende overskud (VaR-gevinst og tab), herunder mindst de vigtigste faktorer bag undtagelserne, med lignende sammenligninger for faktisk gevinst og tab og hypotetisk gevinst og tab (i overensstemmelse med artikel 366 i CRR).</t>
    </r>
  </si>
  <si>
    <t>Oplysninger om faktiske gevinster/tab og i særdeleshed en præcisering af, om de omfatter reserver og, hvis ikke, hvordan reserverne integreres i backtestingprocessen.</t>
  </si>
  <si>
    <t xml:space="preserve"> Skema EU OR1 - Kapitalgrundlagskrav for operationel risiko og risikovægtede eksponeringer</t>
  </si>
  <si>
    <t>Bankaktiviteter</t>
  </si>
  <si>
    <t>Relevant indikator</t>
  </si>
  <si>
    <t>Own funds</t>
  </si>
  <si>
    <t>Total operational risk-weighted exposure amount</t>
  </si>
  <si>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</si>
  <si>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</si>
  <si>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</si>
  <si>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</si>
  <si>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</si>
  <si>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</si>
  <si>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</si>
  <si>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</si>
  <si>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</si>
  <si>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 xml:space="preserve">Skema EU REM1 – Aflønning tildelt i løbet af regnskabsåret </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</si>
  <si>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</si>
  <si>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</si>
  <si>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</si>
  <si>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</si>
  <si>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</si>
  <si>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</si>
  <si>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</si>
  <si>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</si>
  <si>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</si>
  <si>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</si>
  <si>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</si>
  <si>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</si>
  <si>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</si>
  <si>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</si>
  <si>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</si>
  <si>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</si>
  <si>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</si>
  <si>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</si>
  <si>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</si>
  <si>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</si>
  <si>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</si>
  <si>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</si>
  <si>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</si>
  <si>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</si>
  <si>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</si>
  <si>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EU REM2 – Særlige betalinger til medarbejdere, hvis arbejde har væsentlig indflydelse på instituttets risikoprofil (identificerede medarbejdere)</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</si>
  <si>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</si>
  <si>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</si>
  <si>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</si>
  <si>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</si>
  <si>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</si>
  <si>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</si>
  <si>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</si>
  <si>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</si>
  <si>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</si>
  <si>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</si>
  <si>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</si>
  <si>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</si>
  <si>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</si>
  <si>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</si>
  <si>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Skema EU REM3 – Udskudt aflønning </t>
  </si>
  <si>
    <t>EU - g</t>
  </si>
  <si>
    <t>EU - h</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</si>
  <si>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</si>
  <si>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</si>
  <si>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</si>
  <si>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</si>
  <si>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</si>
  <si>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</si>
  <si>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</si>
  <si>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</si>
  <si>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</si>
  <si>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</si>
  <si>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</si>
  <si>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</si>
  <si>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</si>
  <si>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</si>
  <si>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</si>
  <si>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</si>
  <si>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</si>
  <si>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</si>
  <si>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</si>
  <si>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</si>
  <si>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</si>
  <si>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</si>
  <si>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</si>
  <si>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</si>
  <si>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</si>
  <si>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</si>
  <si>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</si>
  <si>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</si>
  <si>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</si>
  <si>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</si>
  <si>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</si>
  <si>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Skema REM5 – Oplysninger om aflønning af medarbejdere, hvis arbejde har væsentlig indflydelse på instituttets risikoprofil (identificerede medarbejdere)</t>
  </si>
  <si>
    <t>Aflønning af ledelsesorgan</t>
  </si>
  <si>
    <t>Forretningsområder</t>
  </si>
  <si>
    <t>Ledelsesorgan, i alt</t>
  </si>
  <si>
    <t>Detailbankydelser</t>
  </si>
  <si>
    <t>Forvaltning af aktiver</t>
  </si>
  <si>
    <t>Forretningsfunktioner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</si>
  <si>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</si>
  <si>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</si>
  <si>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</si>
  <si>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</si>
  <si>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</si>
  <si>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</si>
  <si>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</si>
  <si>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</si>
  <si>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</si>
  <si>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</si>
  <si>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</si>
  <si>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</si>
  <si>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</si>
  <si>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</si>
  <si>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</si>
  <si>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</si>
  <si>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</si>
  <si>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</si>
  <si>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</si>
  <si>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</si>
  <si>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</si>
  <si>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</si>
  <si>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</si>
  <si>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</si>
  <si>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</si>
  <si>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</si>
  <si>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</si>
  <si>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</si>
  <si>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</si>
  <si>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</si>
  <si>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</si>
  <si>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</si>
  <si>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</si>
  <si>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</si>
  <si>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</si>
  <si>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Skema EU AE3 – Behæftelseskilder</t>
  </si>
  <si>
    <t>Modsvarende forpligtelser, eventualforpligtelser eller udlånte værdipapirer</t>
  </si>
  <si>
    <t>Regnskabsmæssig værdi af udvalgte finansielle forpligtelser</t>
  </si>
  <si>
    <t>Fynske Bank A/S</t>
  </si>
  <si>
    <t>Ejendomsselskabet Centrumpladsen ApS</t>
  </si>
  <si>
    <t>Ejendomsselskabet Trindholmsgade ApS</t>
  </si>
  <si>
    <t>Leasing Fyn Svendborg A/S</t>
  </si>
  <si>
    <t>Ejendomsselskab</t>
  </si>
  <si>
    <t>Leasingselskab</t>
  </si>
  <si>
    <t>Side</t>
  </si>
  <si>
    <t>Indholdsfortegnelse</t>
  </si>
  <si>
    <t>Samlede kapitalgrundlags-krav</t>
  </si>
  <si>
    <t>AVA på kategoriniveau —Værdiansættelses-usikkerhed</t>
  </si>
  <si>
    <t>Samlet værdi på kategori-niveau efter diversificering</t>
  </si>
  <si>
    <t>AVA for investerings- og finansierings-omkostninger</t>
  </si>
  <si>
    <r>
      <rPr>
        <sz val="8"/>
        <color theme="1"/>
        <rFont val="Arial"/>
        <family val="2"/>
      </rPr>
      <t xml:space="preserve">Heraf: </t>
    </r>
    <r>
      <rPr>
        <b/>
        <sz val="8"/>
        <color rgb="FF000000"/>
        <rFont val="Arial"/>
        <family val="2"/>
      </rPr>
      <t>Samlet kerne-metode</t>
    </r>
    <r>
      <rPr>
        <sz val="8"/>
        <color rgb="FF000000"/>
        <rFont val="Arial"/>
        <family val="2"/>
      </rPr>
      <t xml:space="preserve"> i handelsbe-holdningen</t>
    </r>
  </si>
  <si>
    <r>
      <rPr>
        <sz val="8"/>
        <color theme="1"/>
        <rFont val="Arial"/>
        <family val="2"/>
      </rPr>
      <t xml:space="preserve">Heraf: </t>
    </r>
    <r>
      <rPr>
        <b/>
        <sz val="8"/>
        <color rgb="FF000000"/>
        <rFont val="Arial"/>
        <family val="2"/>
      </rPr>
      <t>Samlet kernemetode</t>
    </r>
    <r>
      <rPr>
        <sz val="8"/>
        <color rgb="FF000000"/>
        <rFont val="Arial"/>
        <family val="2"/>
      </rPr>
      <t xml:space="preserve"> i anlægsbehold-ningen</t>
    </r>
  </si>
  <si>
    <t>Fremtidige administrations-omkostninger</t>
  </si>
  <si>
    <t>Akkumu-lerede delvise afskrivninger</t>
  </si>
  <si>
    <t>På ikkemislig-holdte ekspo-neringer</t>
  </si>
  <si>
    <t>På mislig-holdte ekspo-neringer</t>
  </si>
  <si>
    <t>Mislig-holdte ekspo-neringer med kreditlemp-elser</t>
  </si>
  <si>
    <t>Heraf mislig-holdte</t>
  </si>
  <si>
    <t>Heraf værdi-forringede</t>
  </si>
  <si>
    <t>Ikke forfaldne eller forfaldne  ≤ 30 dage</t>
  </si>
  <si>
    <t>Heraf ekspo-neringer, der testes for værdifor-ringelse</t>
  </si>
  <si>
    <t>Akkumuleret værdi-forringelse</t>
  </si>
  <si>
    <t>Heraf forfaldne  &gt; 30 dage ≤ 90 dage</t>
  </si>
  <si>
    <t>Heraf forfaldne  &gt; 90 dage ≤ 180 dage</t>
  </si>
  <si>
    <t>Heraf: forfaldne  &gt; 180 dage ≤ 1 år</t>
  </si>
  <si>
    <t>Heraf: forfaldne  &gt; 7 år</t>
  </si>
  <si>
    <t>Ikkebalance-førte eksponeringer inden anvendelse af kreditkon-verterings-faktorer</t>
  </si>
  <si>
    <t>Eksponerings-vægtet gennemsnitlig kreditkonver-teringsfaktor</t>
  </si>
  <si>
    <t>Eksponeringer efter konverterings-faktorer og efter kreditrisikoreduk-tionsteknikker</t>
  </si>
  <si>
    <t>Eksponerings-vægtet gennemsnitlig PD (%)</t>
  </si>
  <si>
    <t>Eksponerings-vægtet gennemsnitlig LGD (%)</t>
  </si>
  <si>
    <t>Eksponerings-vægtet gennemsnitlig løbetid (år)</t>
  </si>
  <si>
    <t>Værdijust-eringer og hensættelser</t>
  </si>
  <si>
    <t>Faktisk forventet positiv ekspo-nering</t>
  </si>
  <si>
    <t>Alfa anvendt til beregning af en regulerings-mæssig eksponerings-værdi</t>
  </si>
  <si>
    <t>Eksponerings-værdi inden anvendelse af kreditrisikore-duktions-teknikker</t>
  </si>
  <si>
    <t>Eksponerings-værdi efter anvendelse af kreditrisikore-duktionsteknikker</t>
  </si>
  <si>
    <t>Eksponerings-værdi</t>
  </si>
  <si>
    <t>Eksponerings-vægtet gennemsnit-lig PD (%)</t>
  </si>
  <si>
    <t>Eksponerings-vægtet gennemsnit-lig LGD (%)</t>
  </si>
  <si>
    <t>Eksponerings-vægtet gennemsnit-lig løbetid (år)</t>
  </si>
  <si>
    <t>Kapitalgrundlags-krav</t>
  </si>
  <si>
    <t>Investerings-bankvirksom-hed</t>
  </si>
  <si>
    <t>Uafhængige interne kontrolfunk-tioner</t>
  </si>
  <si>
    <t>Aktiver, modtagne sikkerheder og egne udstedte gældsværdipapirer, bortset fra særligt dækkede obligationer og særligt dækkede realkredit-obligationer og behæftede securitiseringer</t>
  </si>
  <si>
    <t>EU OV1</t>
  </si>
  <si>
    <t>EU KM1</t>
  </si>
  <si>
    <t>EU INS1</t>
  </si>
  <si>
    <t>EU INS2</t>
  </si>
  <si>
    <t>EU LI1</t>
  </si>
  <si>
    <t>EU LI2</t>
  </si>
  <si>
    <t>EU LI3</t>
  </si>
  <si>
    <t>EU PV1</t>
  </si>
  <si>
    <t>EU CC1</t>
  </si>
  <si>
    <t>EU CC2</t>
  </si>
  <si>
    <t>EU-CCyB1</t>
  </si>
  <si>
    <t>EU-CCyB2</t>
  </si>
  <si>
    <t>EU LR1</t>
  </si>
  <si>
    <t>EU LR2</t>
  </si>
  <si>
    <t>EU LR3</t>
  </si>
  <si>
    <t>EU LIQ1</t>
  </si>
  <si>
    <t>EU LIQ2</t>
  </si>
  <si>
    <t xml:space="preserve">EU CR1 </t>
  </si>
  <si>
    <t>EU CR1-A</t>
  </si>
  <si>
    <t xml:space="preserve">EU CR2 </t>
  </si>
  <si>
    <t>EU CR2a</t>
  </si>
  <si>
    <t xml:space="preserve">EU CQ1 </t>
  </si>
  <si>
    <t xml:space="preserve">EU CQ2 </t>
  </si>
  <si>
    <t xml:space="preserve">EU CQ3 </t>
  </si>
  <si>
    <t xml:space="preserve">EU CQ4 </t>
  </si>
  <si>
    <t xml:space="preserve">EU CQ5 </t>
  </si>
  <si>
    <t xml:space="preserve">EU CQ6 </t>
  </si>
  <si>
    <t xml:space="preserve">EU CQ7 </t>
  </si>
  <si>
    <t xml:space="preserve">EU CQ8 </t>
  </si>
  <si>
    <t xml:space="preserve">EU CR3 </t>
  </si>
  <si>
    <t/>
  </si>
  <si>
    <t xml:space="preserve">EU CR4 </t>
  </si>
  <si>
    <t xml:space="preserve">EU CR5 </t>
  </si>
  <si>
    <t xml:space="preserve">EU CR6 </t>
  </si>
  <si>
    <t>EU CR6-A</t>
  </si>
  <si>
    <t xml:space="preserve">EU CR7 </t>
  </si>
  <si>
    <t>EU CR7-A</t>
  </si>
  <si>
    <t xml:space="preserve">EU CR8 </t>
  </si>
  <si>
    <t xml:space="preserve">EU CR9 </t>
  </si>
  <si>
    <t>EU CR9.1</t>
  </si>
  <si>
    <t>EU CR10</t>
  </si>
  <si>
    <t>EU CCR1</t>
  </si>
  <si>
    <t>EU CCR2</t>
  </si>
  <si>
    <t>EU CCR3</t>
  </si>
  <si>
    <t>EU CCR4</t>
  </si>
  <si>
    <t>EU CCR5</t>
  </si>
  <si>
    <t>EU CCR6</t>
  </si>
  <si>
    <t>EU CCR7</t>
  </si>
  <si>
    <t>EU CCR8</t>
  </si>
  <si>
    <t>EU-SEC1</t>
  </si>
  <si>
    <t>EU-SEC2</t>
  </si>
  <si>
    <t>EU-SEC3</t>
  </si>
  <si>
    <t>EU-SEC4</t>
  </si>
  <si>
    <t>EU-SEC5</t>
  </si>
  <si>
    <t xml:space="preserve">EU MR1 </t>
  </si>
  <si>
    <t>EU MR2-A</t>
  </si>
  <si>
    <t>EU MR2-B</t>
  </si>
  <si>
    <t xml:space="preserve">EU MR3 </t>
  </si>
  <si>
    <t xml:space="preserve">EU MR4 </t>
  </si>
  <si>
    <t xml:space="preserve">EU OR1 </t>
  </si>
  <si>
    <t>EU REM1</t>
  </si>
  <si>
    <t>EU REM2</t>
  </si>
  <si>
    <t>EU REM3</t>
  </si>
  <si>
    <t>EU REM4</t>
  </si>
  <si>
    <t>EU REM5</t>
  </si>
  <si>
    <t xml:space="preserve">EU AE1 </t>
  </si>
  <si>
    <t xml:space="preserve">EU AE2 </t>
  </si>
  <si>
    <t xml:space="preserve">EU AE3 </t>
  </si>
  <si>
    <t>Oversigt over samlede risikoeksponeringer</t>
  </si>
  <si>
    <t>Skema om væsentlige målekriterier</t>
  </si>
  <si>
    <t>Forsikringsinteresser</t>
  </si>
  <si>
    <t>Finansielle konglomerater — Oplysninger om kapitalgrundlag og kapitalprocent</t>
  </si>
  <si>
    <t xml:space="preserve">Forskelle mellem de regnskabsmæssige rammer og rammerne for tilsynsmæssig konsolidering og sammenstilling af regnskabskategorierne og lovmæssigt fastsatte risikokategorier </t>
  </si>
  <si>
    <t xml:space="preserve">Primære kilder til forskelle mellem de tilsynsmæssige eksponeringsbeløb og regnskabsmæssige værdier </t>
  </si>
  <si>
    <t xml:space="preserve">Skitsering af forskellene i konsolideringens omfang (enhed for enhed) </t>
  </si>
  <si>
    <t>Justeringer som følge af forsigtig værdiansættelse (PVA)</t>
  </si>
  <si>
    <t>Sammensætning af lovpligtigt kapitalgrundlag</t>
  </si>
  <si>
    <t>Afstemning mellem lovbestemt kapitalgrundlag og balancen i de reviderede regnskaber</t>
  </si>
  <si>
    <t>Geografisk fordeling af krediteksponeringer, der er relevante for beregningen af den kontracykliske kapitalbuffer</t>
  </si>
  <si>
    <t>Størrelsen af den institutspecifikke kontracykliske kapitalbuffer</t>
  </si>
  <si>
    <t>Afstemning mellem regnskabsmæssige aktiver og gearingsgradrelevante eksponeringer — oversigt</t>
  </si>
  <si>
    <t>Oplysninger om gearingsgrad — fælles regler</t>
  </si>
  <si>
    <t>Opdeling af balanceførte eksponeringer (ekskl. derivater, SFT'er og ikke medregnede eksponeringer)</t>
  </si>
  <si>
    <t>Kvantitative oplysninger om likviditetsdækningsgrad</t>
  </si>
  <si>
    <t xml:space="preserve">Net stable funding ratio </t>
  </si>
  <si>
    <t xml:space="preserve">Ikkemisligholdte og misligholdte eksponeringer og dertil knyttede bestemmelser. </t>
  </si>
  <si>
    <t>Løbetid på eksponeringer</t>
  </si>
  <si>
    <t>Ændringer i beholdningen af misligholdte lån og forskud</t>
  </si>
  <si>
    <t>Ændringer i beholdningen af misligholdte lån og forskud og akkumulerede inddrevne nettobeløb i forbindelse hermed</t>
  </si>
  <si>
    <t>Kreditkvalitet af eksponeringer med kreditlempelser</t>
  </si>
  <si>
    <t>Kvalitet af kreditlempelser</t>
  </si>
  <si>
    <t>Kreditkvalitet af ikkemisligholdte og misligholdte eksponeringer efter forfaldsdage</t>
  </si>
  <si>
    <t>Kvaliteten af misligholdte eksponeringer efter geografisk placering </t>
  </si>
  <si>
    <t>Kreditkvalitet af lån og forskud til ikkefinansielle selskaber efter branche</t>
  </si>
  <si>
    <t xml:space="preserve">Værdiansættelse af sikkerhedsstillelse - lån og forskud </t>
  </si>
  <si>
    <t xml:space="preserve">Sikkerhedsstillelse opnået gennem overtagelse og fuldbyrdelsesprocesser </t>
  </si>
  <si>
    <t>Sikkerhedsstillelse opnået gennem overtagelse og fuldbyrdelsesprocesser – opdeling efter årgang</t>
  </si>
  <si>
    <t>Overblik over kreditrisikoreduktionsteknikker  Offentliggørelse af anvendelsen af kreditrisikoreduktionsteknikker</t>
  </si>
  <si>
    <t>Standardmetode — Kreditrisikoeksponering og virkninger af kreditrisikoreduktionsteknikker</t>
  </si>
  <si>
    <t>Standardmetode</t>
  </si>
  <si>
    <t>IRB-metoden — kreditrisikoeksponeringer efter eksponeringsklasse og PD-interval</t>
  </si>
  <si>
    <t>IRB-metoden – anvendelsesområdet for IRB-metoden og SA-metoden</t>
  </si>
  <si>
    <t>IRB-metoden – Virkning af kreditderivater anvendt som CRM-teknikker på de risikovægtede eksponeringer</t>
  </si>
  <si>
    <t>IRB-metoden – Offentliggørelse af omfanget af anvendelsen af kreditrisikoreduktionsteknikker</t>
  </si>
  <si>
    <t xml:space="preserve">RWEA-flowtabeller for kreditrisikoeksponeringer i henhold til IRB-metoden. </t>
  </si>
  <si>
    <t>IRB-metoden – Back-testing af PD efter eksponeringsklasse. (fastsat PD-skala)</t>
  </si>
  <si>
    <t>IRB metoden – Back-testing af PD efter eksponeringsklasse (kun for PD-estimater i henhold til artikel 180, stk. 1, litra f), i CRR)</t>
  </si>
  <si>
    <t>Specialiseret långivning og aktieeksponeringer i henhold til den forenklede risikovægtningsmetode</t>
  </si>
  <si>
    <t>Analyse af modpartskreditrisikoeksponeringer efter metode</t>
  </si>
  <si>
    <t>Transaktioner underlagt kapitalgrundlagskrav for kreditværdijusteringsrisiko</t>
  </si>
  <si>
    <t>Standardmetoden — modpartskreditrisikoeksponeringer efter eksponeringsklasse og risikovægte</t>
  </si>
  <si>
    <t>IRB-metoden — modpartskreditrisikoeksponeringer efter eksponeringsklasse og PD-skala</t>
  </si>
  <si>
    <t>Sammensætning af sikkerhedsstillelse for modpartskreditrisikoeksponeringer</t>
  </si>
  <si>
    <t>Eksponering for kreditderivater</t>
  </si>
  <si>
    <t>RWEA-flowtabeller for markedsrisikoeksponeringer i henhold til IMM</t>
  </si>
  <si>
    <t>Modpartskreditrisikoeksponeringer</t>
  </si>
  <si>
    <t>Securitiseringseksponeringer uden for handelsbeholdningen</t>
  </si>
  <si>
    <t>Securitiseringseksponeringer i handelsbeholdningen</t>
  </si>
  <si>
    <t>Securitiseringseksponeringer uden for handelsbeholdningen og tilknyttede lovbestemte kapitalkrav - instituttet optræder som eksponeringsleverende eller organiserende institut</t>
  </si>
  <si>
    <t>Securitiseringseksponeringer uden for handelsbeholdningen og tilknyttede lovpligtige kapitalkrav - instituttet optræder som investorinstitut</t>
  </si>
  <si>
    <t>Eksponeringer securitiseret af instituttet - Misligholdte eksponeringer og specifikke kreditrisikojusteringer</t>
  </si>
  <si>
    <t>Markedsrisiko i henhold til standardmetoden</t>
  </si>
  <si>
    <t>Markedsrisiko i henhold til metoden med interne modeller (IMA)</t>
  </si>
  <si>
    <t>RWEA-flowtabeller for markedsrisikoeksponeringer i henhold til IMA</t>
  </si>
  <si>
    <t>IMA-værdier for handelsporteføljer</t>
  </si>
  <si>
    <t>Sammenligning af VaR-estimater med gevinster/tab</t>
  </si>
  <si>
    <t>Kapitalgrundlagskrav for operationel risiko og risikovægtede eksponeringer</t>
  </si>
  <si>
    <t xml:space="preserve">Aflønning tildelt i løbet af regnskabsåret </t>
  </si>
  <si>
    <t>Særlige betalinger til medarbejdere, hvis arbejde har væsentlig indflydelse på instituttets risikoprofil (identificerede medarbejdere)</t>
  </si>
  <si>
    <t xml:space="preserve">Udskudt aflønning </t>
  </si>
  <si>
    <t>Aflønning på 1 mio. EUR eller derover pr. regnskabsår</t>
  </si>
  <si>
    <t>Oplysninger om aflønning af medarbejdere, hvis arbejde har væsentlig indflydelse på instituttets risikoprofil (identificerede medarbejdere)</t>
  </si>
  <si>
    <t>Behæftede og ubehæftede aktiver</t>
  </si>
  <si>
    <t>Modtaget sikkerhedsstillelse og egne udstedte gældsværdipapirer</t>
  </si>
  <si>
    <t>Behæftelseskilder</t>
  </si>
  <si>
    <t>omfattet af modpartskreditrisiko</t>
  </si>
  <si>
    <t>omfattet af kreditrisiko</t>
  </si>
  <si>
    <t>omfattet af securitisering</t>
  </si>
  <si>
    <t>omfattet af markedsrisiko</t>
  </si>
  <si>
    <t>Heraf: kontantbaseret *)</t>
  </si>
  <si>
    <t>(DKK 1.000)</t>
  </si>
  <si>
    <t>Nedenstående skemaer vurderes ikke relevante for Fynske Bank.</t>
  </si>
  <si>
    <t>Balance som i de offentliggjorte regnskaber og under tilsynsmæssig ramme for konsolidering</t>
  </si>
  <si>
    <t>A</t>
  </si>
  <si>
    <t>A (Ref. EU-CC2)</t>
  </si>
  <si>
    <t>B (Ref. EU-CC2)</t>
  </si>
  <si>
    <t>B</t>
  </si>
  <si>
    <t>C</t>
  </si>
  <si>
    <t>C (Ref. EU-CC2)</t>
  </si>
  <si>
    <t>Overført resultat , primo</t>
  </si>
  <si>
    <t>Årets overskud fratrukket udbytte</t>
  </si>
  <si>
    <t>D</t>
  </si>
  <si>
    <t>D (Ref. EU-CC2)</t>
  </si>
  <si>
    <t>Udnyttet del af ramme til anskaffelse af egne aktier</t>
  </si>
  <si>
    <t>Anvendelsesområdet</t>
  </si>
  <si>
    <t>Likviditetskrav</t>
  </si>
  <si>
    <t>Eksponeringer mod kreditrisiko, udvandingsrisiko og kreditkvalitet</t>
  </si>
  <si>
    <t>Anvendelsen af kreditrisikoreduktionsteknikker</t>
  </si>
  <si>
    <t>Anvendelsen af standardmetoden</t>
  </si>
  <si>
    <t>Eksponeringer mod modpartskreditrisiko</t>
  </si>
  <si>
    <t>Anvendelsen af standardmetoden for markedsrisiko</t>
  </si>
  <si>
    <t>Aflønningspolitik</t>
  </si>
  <si>
    <r>
      <t>Kilde baseret på referencenumre/-bogstaver i balancen i henhold til den tilsynsmæssige ramme for konsolideringen</t>
    </r>
    <r>
      <rPr>
        <sz val="11"/>
        <color theme="0"/>
        <rFont val="Calibri"/>
        <family val="2"/>
        <scheme val="minor"/>
      </rPr>
      <t> </t>
    </r>
  </si>
  <si>
    <r>
      <rPr>
        <sz val="11"/>
        <color theme="1"/>
        <rFont val="Calibri"/>
        <family val="2"/>
        <scheme val="minor"/>
      </rPr>
      <t>Udskudte skatteaktiver, som skyldes midlertidige forskelle (beløb over tærsklen på 10 %, fratrukket tilknyttede skatteforpligtelser, hvis betingelserne i artikel 38, stk. 3, i CRR er opfyldt) (negativt beløb)</t>
    </r>
  </si>
  <si>
    <r>
      <rPr>
        <sz val="11"/>
        <color theme="1"/>
        <rFont val="Calibri"/>
        <family val="2"/>
        <scheme val="minor"/>
      </rPr>
      <t>Kvalificerede fradrag i hybrid kernekapital, der overstiger instituttets hybride kernekapitalposter (negativt beløb)</t>
    </r>
  </si>
  <si>
    <r>
      <rPr>
        <sz val="11"/>
        <color theme="1"/>
        <rFont val="Calibri"/>
        <family val="2"/>
        <scheme val="minor"/>
      </rPr>
      <t>Andre lovpligtige justeringer</t>
    </r>
  </si>
  <si>
    <r>
      <rPr>
        <sz val="11"/>
        <color theme="1"/>
        <rFont val="Calibri"/>
        <family val="2"/>
        <scheme val="minor"/>
      </rPr>
      <t>Kvalificerede fradrag i supplerende kapital, der overstiger instituttets supplerende kapitalposter (negativt beløb)</t>
    </r>
  </si>
  <si>
    <r>
      <rPr>
        <sz val="11"/>
        <color theme="1"/>
        <rFont val="Calibri"/>
        <family val="2"/>
        <scheme val="minor"/>
      </rPr>
      <t>EU-56a</t>
    </r>
    <r>
      <rPr>
        <sz val="11"/>
        <color rgb="FF000000"/>
        <rFont val="Calibri"/>
        <family val="2"/>
        <scheme val="minor"/>
      </rPr>
      <t> </t>
    </r>
  </si>
  <si>
    <r>
      <rPr>
        <sz val="11"/>
        <color theme="1"/>
        <rFont val="Calibri"/>
        <family val="2"/>
        <scheme val="minor"/>
      </rPr>
      <t>Ikke relevant</t>
    </r>
  </si>
  <si>
    <r>
      <rPr>
        <sz val="11"/>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11"/>
        <color rgb="FF000000"/>
        <rFont val="Calibri"/>
        <family val="2"/>
        <scheme val="minor"/>
      </rPr>
      <t xml:space="preserve">   </t>
    </r>
  </si>
  <si>
    <r>
      <rPr>
        <sz val="11"/>
        <color theme="1"/>
        <rFont val="Calibri"/>
        <family val="2"/>
        <scheme val="minor"/>
      </rPr>
      <t>Udskudte skatteaktiver, som skyldes midlertidige forskelle (beløb under tærsklen på 17,65 %, fratrukket tilknyttede skatteforpligtelser, hvis betingelserne i artikel 38, stk. 3, i CRR er opfyldt)</t>
    </r>
  </si>
  <si>
    <r>
      <t>Aktiver</t>
    </r>
    <r>
      <rPr>
        <sz val="11"/>
        <color rgb="FF000000"/>
        <rFont val="Calibri"/>
        <family val="2"/>
        <scheme val="minor"/>
      </rPr>
      <t xml:space="preserve"> — </t>
    </r>
    <r>
      <rPr>
        <i/>
        <sz val="11"/>
        <color rgb="FF000000"/>
        <rFont val="Calibri"/>
        <family val="2"/>
        <scheme val="minor"/>
      </rPr>
      <t>Opdeling efter aktivklasser i overensstemmelse med balancen i de offentliggjorte regnskaber</t>
    </r>
  </si>
  <si>
    <r>
      <t>Passiver</t>
    </r>
    <r>
      <rPr>
        <sz val="11"/>
        <color rgb="FF000000"/>
        <rFont val="Calibri"/>
        <family val="2"/>
        <scheme val="minor"/>
      </rPr>
      <t xml:space="preserve"> — </t>
    </r>
    <r>
      <rPr>
        <i/>
        <sz val="11"/>
        <color rgb="FF000000"/>
        <rFont val="Calibri"/>
        <family val="2"/>
        <scheme val="minor"/>
      </rPr>
      <t>Opdeling efter passivklasser i overensstemmelse med balancen i de offentliggjorte regnskaber</t>
    </r>
  </si>
  <si>
    <t>DKK 1.000</t>
  </si>
  <si>
    <r>
      <rPr>
        <sz val="11"/>
        <color theme="0"/>
        <rFont val="Segoe UI"/>
        <family val="2"/>
      </rPr>
      <t xml:space="preserve">Heraf </t>
    </r>
    <r>
      <rPr>
        <b/>
        <sz val="11"/>
        <color theme="0"/>
        <rFont val="Segoe UI"/>
        <family val="2"/>
      </rPr>
      <t>sikret ved sikkerhedsstillelse</t>
    </r>
    <r>
      <rPr>
        <sz val="11"/>
        <color theme="0"/>
        <rFont val="Segoe UI"/>
        <family val="2"/>
      </rPr>
      <t>:</t>
    </r>
    <r>
      <rPr>
        <b/>
        <sz val="11"/>
        <color theme="0"/>
        <rFont val="Segoe UI"/>
        <family val="2"/>
      </rPr>
      <t xml:space="preserve"> </t>
    </r>
  </si>
  <si>
    <r>
      <rPr>
        <sz val="11"/>
        <color theme="0"/>
        <rFont val="Segoe UI"/>
        <family val="2"/>
      </rPr>
      <t xml:space="preserve">Heraf </t>
    </r>
    <r>
      <rPr>
        <b/>
        <sz val="11"/>
        <color theme="0"/>
        <rFont val="Segoe UI"/>
        <family val="2"/>
      </rPr>
      <t>sikret ved finansielle garantier</t>
    </r>
  </si>
  <si>
    <r>
      <rPr>
        <sz val="11"/>
        <color theme="0"/>
        <rFont val="Segoe UI"/>
        <family val="2"/>
      </rPr>
      <t xml:space="preserve">Heraf </t>
    </r>
    <r>
      <rPr>
        <b/>
        <sz val="11"/>
        <color theme="0"/>
        <rFont val="Segoe UI"/>
        <family val="2"/>
      </rPr>
      <t>sikret ved kreditderivater</t>
    </r>
  </si>
  <si>
    <r>
      <rPr>
        <sz val="11"/>
        <color theme="1"/>
        <rFont val="Calibri"/>
        <family val="2"/>
        <scheme val="minor"/>
      </rPr>
      <t>EU</t>
    </r>
    <r>
      <rPr>
        <sz val="11"/>
        <color rgb="FFFF0000"/>
        <rFont val="Calibri"/>
        <family val="2"/>
        <scheme val="minor"/>
      </rPr>
      <t>-</t>
    </r>
    <r>
      <rPr>
        <sz val="11"/>
        <color rgb="FF000000"/>
        <rFont val="Calibri"/>
        <family val="2"/>
        <scheme val="minor"/>
      </rPr>
      <t>1</t>
    </r>
  </si>
  <si>
    <r>
      <rPr>
        <sz val="11"/>
        <color theme="1"/>
        <rFont val="Calibri"/>
        <family val="2"/>
        <scheme val="minor"/>
      </rPr>
      <t>EU</t>
    </r>
    <r>
      <rPr>
        <sz val="11"/>
        <color rgb="FFFF0000"/>
        <rFont val="Calibri"/>
        <family val="2"/>
        <scheme val="minor"/>
      </rPr>
      <t>-</t>
    </r>
    <r>
      <rPr>
        <sz val="11"/>
        <color rgb="FF000000"/>
        <rFont val="Calibri"/>
        <family val="2"/>
        <scheme val="minor"/>
      </rPr>
      <t>2</t>
    </r>
  </si>
  <si>
    <r>
      <rPr>
        <sz val="11"/>
        <color rgb="FF000000"/>
        <rFont val="Calibri"/>
        <family val="2"/>
        <scheme val="minor"/>
      </rPr>
      <t>Transaktioner underlagt den alternative metode (baseret på den oprindelige eksponeringsmetode)</t>
    </r>
  </si>
  <si>
    <t xml:space="preserve">Eksponeringsværdi i alt </t>
  </si>
  <si>
    <r>
      <rPr>
        <sz val="11"/>
        <color theme="1"/>
        <rFont val="Calibri"/>
        <family val="2"/>
        <scheme val="minor"/>
      </rPr>
      <t>Securitisering (specifik risiko)</t>
    </r>
  </si>
  <si>
    <t>Selskabsoplysninger</t>
  </si>
  <si>
    <t xml:space="preserve">Adresse: </t>
  </si>
  <si>
    <t>Reg.nr.</t>
  </si>
  <si>
    <t xml:space="preserve">CVR-nr. </t>
  </si>
  <si>
    <t xml:space="preserve">LEI-kode: </t>
  </si>
  <si>
    <t xml:space="preserve">Telefon: </t>
  </si>
  <si>
    <t xml:space="preserve">Mail: </t>
  </si>
  <si>
    <t xml:space="preserve">Hjemmeside: </t>
  </si>
  <si>
    <t>Indledning</t>
  </si>
  <si>
    <t>Nærværende rapportering er udarbejdet og opbygget i henhold til søjle III forordningen (EU-Kommissionens gennemførselsforordning (EU) 2021/637), der detaljeret præciserer søjle III-offentliggørelseskravene i CRR-forordningens artikel 431 til 455, samt de tilhørende tekniske standarder og retningslinjer fra EBA. Reglerne i bekendtgørelse om risikoeksponering, kapitalgrundlag og solvensbehov er ligeledes dækket af rapporteringen.</t>
  </si>
  <si>
    <t>Søjle III forordningen indeholder et omfattende sæt af oplysningsskemaer og – tabeller, som specificerer de konkrete offentliggørelseskrav. Der skelnes mellem:</t>
  </si>
  <si>
    <r>
      <t>·</t>
    </r>
    <r>
      <rPr>
        <sz val="12"/>
        <color theme="1"/>
        <rFont val="Times New Roman"/>
        <family val="1"/>
      </rPr>
      <t xml:space="preserve">         </t>
    </r>
    <r>
      <rPr>
        <sz val="12"/>
        <color theme="1"/>
        <rFont val="Calibri"/>
        <family val="2"/>
        <scheme val="minor"/>
      </rPr>
      <t>Skemaer (kvantitative krav – taloplysninger)</t>
    </r>
  </si>
  <si>
    <r>
      <t>·</t>
    </r>
    <r>
      <rPr>
        <sz val="12"/>
        <color theme="1"/>
        <rFont val="Times New Roman"/>
        <family val="1"/>
      </rPr>
      <t xml:space="preserve">         </t>
    </r>
    <r>
      <rPr>
        <sz val="12"/>
        <color theme="1"/>
        <rFont val="Calibri"/>
        <family val="2"/>
        <scheme val="minor"/>
      </rPr>
      <t>Tabeller (kvalitative krav – verbale beskrivelser)</t>
    </r>
  </si>
  <si>
    <t>Risikorapporten består af 2 dokumenter:</t>
  </si>
  <si>
    <t>1.</t>
  </si>
  <si>
    <t>2.</t>
  </si>
  <si>
    <t>Centrumpladsen 19, 5700 Svendborg</t>
  </si>
  <si>
    <t>25 80 28 88</t>
  </si>
  <si>
    <t>62 21 33 22</t>
  </si>
  <si>
    <t>post@fynskebank.dk</t>
  </si>
  <si>
    <t>www.fynskebank.dk</t>
  </si>
  <si>
    <t>Denne fil hvor alle skemaer er udfyldt med data (kvantitative krav) i hver sit ark. Derudover indeholder filen arket ”Indhold”, som er en oversigt over samtlige skemaer og tabeller og arket ”Erklæring” som indeholder ledelseserklæring på bankens søjle III oplysninger.</t>
  </si>
  <si>
    <t xml:space="preserve">Petter Blondeau </t>
  </si>
  <si>
    <t>Administrerende direktør</t>
  </si>
  <si>
    <t>Væsentlige målekriterier og oversigt over risikovægtede eksponeringsværdier</t>
  </si>
  <si>
    <t>213800JF3JFF6MMR2P36</t>
  </si>
  <si>
    <t>Der henvises til bankens vederlagsrapport som offenliggøres på bankens hjemmeside for yderligere specifikationer.</t>
  </si>
  <si>
    <t>*) Aflønning til ledelsen oplyses under et og væsentlige risikoetageres aflønning oplyses under et begge under hensyntagen til  Databeskyttelsesforordningen (GDPR -  (EU) 2016/679).</t>
  </si>
  <si>
    <t>*) Bestyrelsens og direktions aflønning oplyses under et under hensyntagen til  Databeskyttelsesforordningen (GDPR -  (EU) 2016/679).</t>
  </si>
  <si>
    <t>Skemaer der i Fynske Bank er uden indhold</t>
  </si>
  <si>
    <t>1. halvår 2022</t>
  </si>
  <si>
    <t xml:space="preserve">Pdf-filen "Risikorapport 2022" som indeholder beskrivelser til tabellerne (kvalitative krav), hvor det enkelte afsnit er direkte henførbart til den enkelte række i tabellerne. </t>
  </si>
  <si>
    <t>23. februar 2023</t>
  </si>
  <si>
    <t>Bankens søjle III-oplysningsforpligtelser pr. 31. december 2022 er udarbejdet i overensstemmelse med bankens bestyrelsesgodkendte politik for oplysning af søjle III-information, som er baseret på Europa-Parlamentets og Rådets forordning 2019/876 af 20. maj 2019 og EU-Kommissionens implementerende regulering 2021/637 af 15. marts 2021, samt godkendt af bestyrelsen d. 23. februar 2023. Politikken fastsætter bankens interne kontroller og procedurer for yderligere søjle III-oplysningsforpligtelser og omfatter ansvarsfordeling såvel som fuldstændigheds- og dokumentationskrav.</t>
  </si>
  <si>
    <t>Udskudte skatteaktiver</t>
  </si>
  <si>
    <t>Aktuelle skatteforpligtelser</t>
  </si>
  <si>
    <t>31. dec. 2022</t>
  </si>
  <si>
    <t>30. sept. 2022</t>
  </si>
  <si>
    <t>30. juni 2022</t>
  </si>
  <si>
    <t>31. marts 2022</t>
  </si>
  <si>
    <t>Kontracyklisk kapitalbuffer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</si>
</sst>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kr.&quot;;[Red]\-#,##0\ &quot;kr.&quot;"/>
    <numFmt numFmtId="43" formatCode="_-* #,##0.00_-;\-* #,##0.00_-;_-* &quot;-&quot;??_-;_-@_-"/>
    <numFmt numFmtId="164" formatCode="_-* #,##0_-;\-* #,##0_-;_-* &quot;-&quot;??_-;_-@_-"/>
    <numFmt numFmtId="165" formatCode="0_ ;\-0\ "/>
    <numFmt numFmtId="166" formatCode="_-* #,##0.0_-;\-* #,##0.0_-;_-* &quot;-&quot;??_-;_-@_-"/>
    <numFmt numFmtId="167" formatCode="#,##0_ ;\-#,##0\ "/>
  </numFmts>
  <fonts count="1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sz val="11"/>
      <name val="Calibri"/>
      <family val="2"/>
      <scheme val="minor"/>
    </font>
    <font>
      <b/>
      <sz val="11"/>
      <name val="Calibri"/>
      <family val="2"/>
      <scheme val="minor"/>
    </font>
    <font>
      <sz val="9"/>
      <name val="Calibri"/>
      <family val="2"/>
      <scheme val="minor"/>
    </font>
    <font>
      <sz val="9"/>
      <name val="Calibri Light"/>
      <family val="2"/>
      <scheme val="major"/>
    </font>
    <font>
      <sz val="9"/>
      <color theme="1"/>
      <name val="Calibri"/>
      <family val="2"/>
      <scheme val="minor"/>
    </font>
    <font>
      <sz val="11"/>
      <color rgb="FF000000"/>
      <name val="Calibri"/>
      <family val="2"/>
      <scheme val="minor"/>
    </font>
    <font>
      <b/>
      <sz val="11"/>
      <color rgb="FF000000"/>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Calibri"/>
      <family val="2"/>
      <scheme val="minor"/>
    </font>
    <font>
      <i/>
      <sz val="11"/>
      <color theme="1"/>
      <name val="Calibri"/>
      <family val="2"/>
      <scheme val="minor"/>
    </font>
    <font>
      <b/>
      <sz val="10"/>
      <color theme="1"/>
      <name val="Arial"/>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b/>
      <strike/>
      <sz val="8"/>
      <color rgb="FFFF0000"/>
      <name val="Arial"/>
      <family val="2"/>
    </font>
    <font>
      <b/>
      <sz val="14"/>
      <color theme="1"/>
      <name val="Calibri"/>
      <family val="2"/>
      <scheme val="minor"/>
    </font>
    <font>
      <b/>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sz val="10"/>
      <name val="Arial"/>
      <family val="2"/>
    </font>
    <font>
      <strike/>
      <sz val="9"/>
      <name val="Calibri"/>
      <family val="2"/>
      <scheme val="minor"/>
    </font>
    <font>
      <b/>
      <sz val="11"/>
      <color rgb="FFFF0000"/>
      <name val="Calibri"/>
      <family val="2"/>
      <scheme val="minor"/>
    </font>
    <font>
      <sz val="11"/>
      <color theme="1"/>
      <name val="Calibri"/>
      <family val="2"/>
      <charset val="238"/>
      <scheme val="minor"/>
    </font>
    <font>
      <b/>
      <sz val="12"/>
      <color rgb="FF000000"/>
      <name val="Calibri"/>
      <family val="2"/>
      <scheme val="minor"/>
    </font>
    <font>
      <u/>
      <sz val="11"/>
      <color rgb="FF008080"/>
      <name val="Calibri"/>
      <family val="2"/>
      <scheme val="minor"/>
    </font>
    <font>
      <b/>
      <sz val="11"/>
      <color theme="1"/>
      <name val="Segoe UI"/>
      <family val="2"/>
    </font>
    <font>
      <sz val="12"/>
      <color theme="1"/>
      <name val="Calibri"/>
      <family val="2"/>
      <scheme val="minor"/>
    </font>
    <font>
      <i/>
      <sz val="11"/>
      <name val="Calibri"/>
      <family val="2"/>
      <scheme val="minor"/>
    </font>
    <font>
      <b/>
      <sz val="10"/>
      <name val="Calibri"/>
      <family val="2"/>
      <scheme val="minor"/>
    </font>
    <font>
      <sz val="8.5"/>
      <color theme="1"/>
      <name val="Segoe UI"/>
      <family val="2"/>
    </font>
    <font>
      <i/>
      <sz val="8"/>
      <color theme="1"/>
      <name val="Segoe UI"/>
      <family val="2"/>
    </font>
    <font>
      <b/>
      <i/>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sz val="12"/>
      <name val="Calibri"/>
      <family val="2"/>
      <scheme val="minor"/>
    </font>
    <font>
      <sz val="8.5"/>
      <name val="Segoe UI"/>
      <family val="2"/>
    </font>
    <font>
      <b/>
      <sz val="8.5"/>
      <name val="Segoe UI"/>
      <family val="2"/>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8"/>
      <color theme="1"/>
      <name val="Segoe UI"/>
      <family val="2"/>
    </font>
    <font>
      <i/>
      <sz val="8.5"/>
      <color rgb="FF000000"/>
      <name val="Segoe UI"/>
      <family val="2"/>
    </font>
    <font>
      <sz val="10"/>
      <color theme="1"/>
      <name val="Times New Roman"/>
      <family val="1"/>
    </font>
    <font>
      <sz val="7.5"/>
      <color theme="1"/>
      <name val="Calibri"/>
      <family val="2"/>
      <scheme val="minor"/>
    </font>
    <font>
      <sz val="7.5"/>
      <color rgb="FF000000"/>
      <name val="Segoe UI"/>
      <family val="2"/>
    </font>
    <font>
      <i/>
      <sz val="7.5"/>
      <color rgb="FF000000"/>
      <name val="Segoe UI"/>
      <family val="2"/>
    </font>
    <font>
      <b/>
      <i/>
      <sz val="7.5"/>
      <color rgb="FF000000"/>
      <name val="Segoe UI"/>
      <family val="2"/>
    </font>
    <font>
      <b/>
      <i/>
      <sz val="7.5"/>
      <color theme="1"/>
      <name val="Segoe UI"/>
      <family val="2"/>
    </font>
    <font>
      <sz val="11"/>
      <color rgb="FF000000"/>
      <name val="Segoe UI"/>
      <family val="2"/>
    </font>
    <font>
      <b/>
      <sz val="16"/>
      <color theme="1"/>
      <name val="Arial"/>
      <family val="2"/>
    </font>
    <font>
      <b/>
      <sz val="14"/>
      <color theme="1"/>
      <name val="Arial"/>
      <family val="2"/>
    </font>
    <font>
      <sz val="16"/>
      <color theme="1"/>
      <name val="Calibri"/>
      <family val="2"/>
      <scheme val="minor"/>
    </font>
    <font>
      <b/>
      <sz val="11"/>
      <color rgb="FF000000"/>
      <name val="Segoe UI"/>
      <family val="2"/>
    </font>
    <font>
      <sz val="8.5"/>
      <color theme="1"/>
      <name val="Calibri"/>
      <family val="2"/>
      <scheme val="minor"/>
    </font>
    <font>
      <b/>
      <sz val="8.5"/>
      <color theme="1"/>
      <name val="Calibri"/>
      <family val="2"/>
      <scheme val="minor"/>
    </font>
    <font>
      <sz val="11"/>
      <color rgb="FF1F497D"/>
      <name val="Calibri"/>
      <family val="2"/>
    </font>
    <font>
      <b/>
      <sz val="16"/>
      <color theme="1"/>
      <name val="Calibri"/>
      <family val="2"/>
      <scheme val="minor"/>
    </font>
    <font>
      <sz val="24"/>
      <color rgb="FF000000"/>
      <name val="Segoe UI"/>
      <family val="2"/>
    </font>
    <font>
      <b/>
      <sz val="8.5"/>
      <color rgb="FF000000"/>
      <name val="Segoe UI"/>
      <family val="2"/>
    </font>
    <font>
      <i/>
      <sz val="8.5"/>
      <name val="Segoe UI"/>
      <family val="2"/>
    </font>
    <font>
      <sz val="11"/>
      <color theme="1"/>
      <name val="Segoe UI"/>
      <family val="2"/>
    </font>
    <font>
      <i/>
      <sz val="11"/>
      <color theme="1"/>
      <name val="Segoe UI"/>
      <family val="2"/>
    </font>
    <font>
      <i/>
      <sz val="12"/>
      <color theme="1"/>
      <name val="Segoe UI"/>
      <family val="2"/>
    </font>
    <font>
      <b/>
      <sz val="12"/>
      <color theme="1"/>
      <name val="Segoe UI"/>
      <family val="2"/>
    </font>
    <font>
      <b/>
      <i/>
      <sz val="11"/>
      <color theme="1"/>
      <name val="Calibri"/>
      <family val="2"/>
      <scheme val="minor"/>
    </font>
    <font>
      <sz val="9"/>
      <color rgb="FF1F497D"/>
      <name val="Calibri"/>
      <family val="2"/>
    </font>
    <font>
      <sz val="9"/>
      <color theme="4" tint="-0.249977111117893"/>
      <name val="Calibri"/>
      <family val="2"/>
    </font>
    <font>
      <b/>
      <sz val="12"/>
      <color theme="1"/>
      <name val="Arial"/>
      <family val="2"/>
    </font>
    <font>
      <sz val="10"/>
      <color rgb="FFFF0000"/>
      <name val="Arial"/>
      <family val="2"/>
    </font>
    <font>
      <b/>
      <sz val="18"/>
      <color rgb="FFFF0000"/>
      <name val="Calibri"/>
      <family val="2"/>
      <scheme val="minor"/>
    </font>
    <font>
      <b/>
      <sz val="10"/>
      <name val="Arial"/>
      <family val="2"/>
    </font>
    <font>
      <sz val="8"/>
      <color rgb="FFFF0000"/>
      <name val="Segoe UI"/>
      <family val="2"/>
    </font>
    <font>
      <sz val="18"/>
      <color theme="1"/>
      <name val="Calibri"/>
      <family val="2"/>
      <scheme val="minor"/>
    </font>
    <font>
      <b/>
      <sz val="12"/>
      <name val="Arial"/>
      <family val="2"/>
    </font>
    <font>
      <b/>
      <sz val="10"/>
      <color rgb="FF000000"/>
      <name val="Arial"/>
      <family val="2"/>
    </font>
    <font>
      <sz val="11"/>
      <color theme="1"/>
      <name val="Arial"/>
      <family val="2"/>
    </font>
    <font>
      <i/>
      <sz val="10"/>
      <color theme="1"/>
      <name val="Arial"/>
      <family val="2"/>
    </font>
    <font>
      <i/>
      <u/>
      <sz val="11"/>
      <name val="Calibri"/>
      <family val="2"/>
      <scheme val="minor"/>
    </font>
    <font>
      <sz val="11"/>
      <color indexed="10"/>
      <name val="Calibri"/>
      <family val="2"/>
      <scheme val="minor"/>
    </font>
    <font>
      <sz val="8"/>
      <color rgb="FFFF0000"/>
      <name val="Calibri"/>
      <family val="2"/>
      <scheme val="minor"/>
    </font>
    <font>
      <strike/>
      <sz val="11"/>
      <name val="Calibri"/>
      <family val="2"/>
      <scheme val="minor"/>
    </font>
    <font>
      <sz val="10"/>
      <color indexed="8"/>
      <name val="Verdana"/>
      <family val="2"/>
    </font>
    <font>
      <b/>
      <sz val="9"/>
      <name val="Verdana"/>
      <family val="2"/>
    </font>
    <font>
      <b/>
      <sz val="20"/>
      <name val="Arial"/>
      <family val="2"/>
    </font>
    <font>
      <sz val="11"/>
      <name val="Arial"/>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0"/>
      <color theme="1"/>
      <name val="Verdana"/>
      <family val="2"/>
    </font>
    <font>
      <u/>
      <sz val="11"/>
      <color theme="10"/>
      <name val="Calibri"/>
      <family val="2"/>
      <scheme val="minor"/>
    </font>
    <font>
      <b/>
      <u/>
      <sz val="14"/>
      <color theme="10"/>
      <name val="Calibri"/>
      <family val="2"/>
      <scheme val="minor"/>
    </font>
    <font>
      <b/>
      <i/>
      <sz val="8.5"/>
      <name val="Segoe UI"/>
      <family val="2"/>
    </font>
    <font>
      <b/>
      <sz val="11"/>
      <color theme="0"/>
      <name val="Calibri"/>
      <family val="2"/>
      <scheme val="minor"/>
    </font>
    <font>
      <sz val="11"/>
      <color theme="0"/>
      <name val="Calibri"/>
      <family val="2"/>
      <scheme val="minor"/>
    </font>
    <font>
      <sz val="11"/>
      <color theme="0" tint="-4.9989318521683403E-2"/>
      <name val="Calibri"/>
      <family val="2"/>
      <scheme val="minor"/>
    </font>
    <font>
      <sz val="12"/>
      <color theme="0"/>
      <name val="Calibri"/>
      <family val="2"/>
      <scheme val="minor"/>
    </font>
    <font>
      <sz val="8.5"/>
      <color theme="0"/>
      <name val="Segoe UI"/>
      <family val="2"/>
    </font>
    <font>
      <sz val="11"/>
      <color theme="0"/>
      <name val="Segoe UI"/>
      <family val="2"/>
    </font>
    <font>
      <sz val="8.5"/>
      <color theme="0"/>
      <name val="Calibri"/>
      <family val="2"/>
      <scheme val="minor"/>
    </font>
    <font>
      <b/>
      <i/>
      <sz val="11"/>
      <color rgb="FF000000"/>
      <name val="Calibri"/>
      <family val="2"/>
      <scheme val="minor"/>
    </font>
    <font>
      <b/>
      <sz val="11"/>
      <color theme="0"/>
      <name val="Segoe UI"/>
      <family val="2"/>
    </font>
    <font>
      <sz val="10"/>
      <color rgb="FF000000"/>
      <name val="Calibri"/>
      <family val="2"/>
      <scheme val="minor"/>
    </font>
    <font>
      <sz val="10"/>
      <color theme="0"/>
      <name val="Arial"/>
      <family val="2"/>
    </font>
    <font>
      <u/>
      <sz val="11"/>
      <name val="Calibri"/>
      <family val="2"/>
      <scheme val="minor"/>
    </font>
    <font>
      <b/>
      <sz val="12"/>
      <color theme="1"/>
      <name val="Calibri"/>
      <family val="2"/>
      <scheme val="minor"/>
    </font>
    <font>
      <sz val="10"/>
      <color theme="0"/>
      <name val="Calibri"/>
      <family val="2"/>
      <scheme val="minor"/>
    </font>
    <font>
      <sz val="11"/>
      <color theme="0" tint="-0.499984740745262"/>
      <name val="Calibri"/>
      <family val="2"/>
      <scheme val="minor"/>
    </font>
    <font>
      <b/>
      <sz val="9"/>
      <color theme="0"/>
      <name val="Verdana"/>
      <family val="2"/>
    </font>
    <font>
      <b/>
      <strike/>
      <sz val="9"/>
      <color theme="0"/>
      <name val="Verdana"/>
      <family val="2"/>
    </font>
    <font>
      <b/>
      <sz val="14"/>
      <color theme="1"/>
      <name val="Calibri"/>
      <family val="2"/>
    </font>
    <font>
      <b/>
      <sz val="12"/>
      <color theme="1"/>
      <name val="Calibri"/>
      <family val="2"/>
    </font>
    <font>
      <sz val="12"/>
      <color theme="1"/>
      <name val="Calibri"/>
      <family val="2"/>
    </font>
    <font>
      <sz val="12"/>
      <color theme="1"/>
      <name val="Symbol"/>
      <family val="1"/>
      <charset val="2"/>
    </font>
    <font>
      <sz val="12"/>
      <color theme="1"/>
      <name val="Times New Roman"/>
      <family val="1"/>
    </font>
    <font>
      <b/>
      <sz val="9"/>
      <color theme="1"/>
      <name val="Calibri"/>
      <family val="2"/>
    </font>
    <font>
      <sz val="9"/>
      <color theme="1"/>
      <name val="Calibri"/>
      <family val="2"/>
    </font>
    <font>
      <b/>
      <sz val="14"/>
      <color theme="0"/>
      <name val="Calibri"/>
      <family val="2"/>
      <scheme val="minor"/>
    </font>
    <font>
      <b/>
      <sz val="12"/>
      <color theme="0"/>
      <name val="Calibri"/>
      <family val="2"/>
      <scheme val="minor"/>
    </font>
    <font>
      <b/>
      <sz val="10"/>
      <color theme="0"/>
      <name val="Calibri"/>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indexed="42"/>
        <bgColor indexed="64"/>
      </patternFill>
    </fill>
    <fill>
      <patternFill patternType="solid">
        <fgColor indexed="9"/>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theme="1"/>
        <bgColor theme="1"/>
      </patternFill>
    </fill>
  </fills>
  <borders count="1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theme="0"/>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theme="0" tint="-4.9989318521683403E-2"/>
      </left>
      <right/>
      <top style="thin">
        <color theme="0" tint="-4.9989318521683403E-2"/>
      </top>
      <bottom style="thin">
        <color indexed="64"/>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theme="0" tint="-4.9989318521683403E-2"/>
      </left>
      <right/>
      <top style="thin">
        <color indexed="64"/>
      </top>
      <bottom style="thin">
        <color theme="0" tint="-4.9989318521683403E-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indexed="64"/>
      </bottom>
      <diagonal/>
    </border>
    <border>
      <left/>
      <right style="thin">
        <color theme="0"/>
      </right>
      <top/>
      <bottom/>
      <diagonal/>
    </border>
    <border>
      <left/>
      <right style="thin">
        <color theme="0"/>
      </right>
      <top/>
      <bottom style="thin">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style="medium">
        <color rgb="FF000000"/>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theme="0"/>
      </right>
      <top/>
      <bottom/>
      <diagonal/>
    </border>
    <border>
      <left style="medium">
        <color theme="0"/>
      </left>
      <right style="medium">
        <color theme="0"/>
      </right>
      <top style="medium">
        <color theme="1"/>
      </top>
      <bottom/>
      <diagonal/>
    </border>
    <border>
      <left style="medium">
        <color theme="0"/>
      </left>
      <right style="medium">
        <color theme="0"/>
      </right>
      <top style="thin">
        <color theme="0"/>
      </top>
      <bottom style="medium">
        <color theme="0"/>
      </bottom>
      <diagonal/>
    </border>
    <border>
      <left style="medium">
        <color theme="0"/>
      </left>
      <right style="medium">
        <color theme="0"/>
      </right>
      <top style="thin">
        <color theme="0"/>
      </top>
      <bottom/>
      <diagonal/>
    </border>
    <border>
      <left style="thin">
        <color theme="0"/>
      </left>
      <right style="thin">
        <color theme="0"/>
      </right>
      <top/>
      <bottom/>
      <diagonal/>
    </border>
    <border>
      <left style="thin">
        <color theme="0"/>
      </left>
      <right style="medium">
        <color theme="0"/>
      </right>
      <top style="thin">
        <color theme="0"/>
      </top>
      <bottom/>
      <diagonal/>
    </border>
    <border>
      <left style="medium">
        <color theme="0"/>
      </left>
      <right style="medium">
        <color theme="0"/>
      </right>
      <top/>
      <bottom/>
      <diagonal/>
    </border>
    <border>
      <left/>
      <right style="medium">
        <color indexed="64"/>
      </right>
      <top style="thin">
        <color indexed="64"/>
      </top>
      <bottom style="thin">
        <color indexed="64"/>
      </bottom>
      <diagonal/>
    </border>
    <border>
      <left/>
      <right/>
      <top style="thin">
        <color theme="0"/>
      </top>
      <bottom/>
      <diagonal/>
    </border>
    <border>
      <left/>
      <right/>
      <top/>
      <bottom style="medium">
        <color rgb="FF000000"/>
      </bottom>
      <diagonal/>
    </border>
    <border>
      <left style="thin">
        <color theme="0"/>
      </left>
      <right/>
      <top/>
      <bottom/>
      <diagonal/>
    </border>
    <border>
      <left style="thin">
        <color theme="0"/>
      </left>
      <right/>
      <top/>
      <bottom style="thin">
        <color indexed="64"/>
      </bottom>
      <diagonal/>
    </border>
    <border>
      <left/>
      <right style="thin">
        <color theme="0"/>
      </right>
      <top/>
      <bottom style="medium">
        <color indexed="64"/>
      </bottom>
      <diagonal/>
    </border>
    <border>
      <left style="thin">
        <color theme="0"/>
      </left>
      <right style="thin">
        <color indexed="64"/>
      </right>
      <top style="thin">
        <color theme="0"/>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bottom>
      <diagonal/>
    </border>
    <border>
      <left style="thin">
        <color theme="0" tint="-4.9989318521683403E-2"/>
      </left>
      <right/>
      <top style="thin">
        <color theme="0" tint="-4.9989318521683403E-2"/>
      </top>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auto="1"/>
      </left>
      <right style="thin">
        <color theme="0"/>
      </right>
      <top style="thin">
        <color theme="0"/>
      </top>
      <bottom/>
      <diagonal/>
    </border>
    <border>
      <left style="thin">
        <color theme="0"/>
      </left>
      <right style="thin">
        <color auto="1"/>
      </right>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style="thin">
        <color theme="0"/>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style="thin">
        <color theme="0"/>
      </left>
      <right/>
      <top style="thin">
        <color auto="1"/>
      </top>
      <bottom style="thin">
        <color auto="1"/>
      </bottom>
      <diagonal/>
    </border>
    <border>
      <left/>
      <right style="thin">
        <color theme="0"/>
      </right>
      <top style="thin">
        <color auto="1"/>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right/>
      <top style="thin">
        <color auto="1"/>
      </top>
      <bottom style="thin">
        <color theme="0"/>
      </bottom>
      <diagonal/>
    </border>
    <border>
      <left style="thin">
        <color theme="0"/>
      </left>
      <right style="thin">
        <color theme="0"/>
      </right>
      <top style="medium">
        <color theme="0"/>
      </top>
      <bottom style="thin">
        <color theme="0"/>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36" fillId="0" borderId="0">
      <alignment vertical="center"/>
    </xf>
    <xf numFmtId="3" fontId="36" fillId="11" borderId="1" applyFont="0">
      <alignment horizontal="right" vertical="center"/>
      <protection locked="0"/>
    </xf>
    <xf numFmtId="0" fontId="39" fillId="0" borderId="0"/>
    <xf numFmtId="0" fontId="36" fillId="0" borderId="0">
      <alignment vertical="center"/>
    </xf>
    <xf numFmtId="0" fontId="36" fillId="0" borderId="0"/>
    <xf numFmtId="0" fontId="36" fillId="0" borderId="0"/>
    <xf numFmtId="0" fontId="36" fillId="0" borderId="0"/>
    <xf numFmtId="0" fontId="92" fillId="0" borderId="0" applyNumberFormat="0" applyFill="0" applyBorder="0" applyAlignment="0" applyProtection="0"/>
    <xf numFmtId="0" fontId="102" fillId="12" borderId="34" applyNumberFormat="0" applyFill="0" applyBorder="0" applyAlignment="0" applyProtection="0">
      <alignment horizontal="left"/>
    </xf>
    <xf numFmtId="0" fontId="89" fillId="12" borderId="7" applyFont="0" applyBorder="0">
      <alignment horizontal="center" wrapText="1"/>
    </xf>
    <xf numFmtId="0" fontId="110" fillId="0" borderId="0" applyNumberFormat="0" applyFill="0" applyBorder="0" applyAlignment="0" applyProtection="0"/>
  </cellStyleXfs>
  <cellXfs count="1304">
    <xf numFmtId="0" fontId="0" fillId="0" borderId="0" xfId="0"/>
    <xf numFmtId="0" fontId="5" fillId="0" borderId="0" xfId="0" applyFont="1"/>
    <xf numFmtId="164" fontId="5" fillId="0" borderId="0" xfId="1" applyNumberFormat="1" applyFont="1"/>
    <xf numFmtId="164" fontId="5" fillId="0" borderId="1" xfId="1" applyNumberFormat="1" applyFont="1" applyBorder="1" applyAlignment="1">
      <alignment vertical="center" wrapText="1"/>
    </xf>
    <xf numFmtId="164" fontId="6" fillId="0" borderId="1" xfId="1" applyNumberFormat="1"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0" xfId="0" applyFont="1"/>
    <xf numFmtId="164" fontId="5" fillId="2" borderId="1" xfId="1" applyNumberFormat="1"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8" fillId="0" borderId="0" xfId="0" applyFont="1"/>
    <xf numFmtId="0" fontId="5" fillId="0" borderId="1" xfId="0" applyFont="1" applyBorder="1" applyAlignment="1">
      <alignment horizontal="center" vertical="center" wrapText="1"/>
    </xf>
    <xf numFmtId="0" fontId="6" fillId="0" borderId="0" xfId="0" applyFont="1"/>
    <xf numFmtId="0" fontId="9"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right" vertical="center" wrapText="1"/>
    </xf>
    <xf numFmtId="43" fontId="10" fillId="0" borderId="1" xfId="0" applyNumberFormat="1" applyFont="1" applyBorder="1" applyAlignment="1">
      <alignment horizontal="right" vertical="center" wrapText="1"/>
    </xf>
    <xf numFmtId="0" fontId="10" fillId="0" borderId="1" xfId="0" applyFont="1" applyBorder="1" applyAlignment="1">
      <alignment horizontal="justify" vertical="center" wrapText="1"/>
    </xf>
    <xf numFmtId="164" fontId="10" fillId="0" borderId="1" xfId="1" applyNumberFormat="1" applyFont="1" applyFill="1" applyBorder="1" applyAlignment="1">
      <alignment horizontal="right" vertical="center" wrapText="1"/>
    </xf>
    <xf numFmtId="0" fontId="0" fillId="0" borderId="1" xfId="0" applyBorder="1"/>
    <xf numFmtId="0" fontId="11" fillId="3" borderId="1" xfId="0" applyFont="1" applyFill="1" applyBorder="1" applyAlignment="1">
      <alignment horizontal="center" vertical="center" wrapText="1"/>
    </xf>
    <xf numFmtId="2" fontId="10" fillId="0" borderId="1" xfId="0" applyNumberFormat="1" applyFont="1" applyBorder="1" applyAlignment="1">
      <alignment horizontal="right" vertical="center" wrapText="1"/>
    </xf>
    <xf numFmtId="164" fontId="10" fillId="0" borderId="1" xfId="1" applyNumberFormat="1" applyFont="1" applyBorder="1" applyAlignment="1">
      <alignment horizontal="right" vertical="center" wrapText="1"/>
    </xf>
    <xf numFmtId="0" fontId="5" fillId="0" borderId="1" xfId="0" applyFont="1" applyBorder="1" applyAlignment="1">
      <alignment horizontal="justify" vertical="center" wrapText="1"/>
    </xf>
    <xf numFmtId="0" fontId="2" fillId="0" borderId="0" xfId="0" applyFont="1"/>
    <xf numFmtId="0" fontId="2" fillId="0" borderId="1" xfId="0" applyFont="1" applyBorder="1" applyAlignment="1">
      <alignment horizontal="center" vertical="center" wrapText="1"/>
    </xf>
    <xf numFmtId="2" fontId="5" fillId="0" borderId="1" xfId="0" applyNumberFormat="1" applyFont="1" applyBorder="1" applyAlignment="1">
      <alignment horizontal="right" vertical="center" wrapText="1"/>
    </xf>
    <xf numFmtId="0" fontId="5" fillId="0" borderId="7" xfId="0" applyFont="1" applyBorder="1" applyAlignment="1">
      <alignment vertical="center" wrapText="1"/>
    </xf>
    <xf numFmtId="0" fontId="10" fillId="0" borderId="1" xfId="0" applyFont="1" applyBorder="1" applyAlignment="1">
      <alignment vertical="center" wrapText="1"/>
    </xf>
    <xf numFmtId="164" fontId="10" fillId="0" borderId="1" xfId="1" applyNumberFormat="1" applyFont="1" applyBorder="1" applyAlignment="1">
      <alignment horizontal="center" vertical="center" wrapText="1"/>
    </xf>
    <xf numFmtId="0" fontId="3" fillId="3" borderId="1" xfId="0" applyFont="1" applyFill="1" applyBorder="1" applyAlignment="1">
      <alignment vertical="center" wrapText="1"/>
    </xf>
    <xf numFmtId="0" fontId="0" fillId="0" borderId="1" xfId="0" applyBorder="1" applyAlignment="1">
      <alignment horizontal="center" vertical="center" wrapText="1"/>
    </xf>
    <xf numFmtId="0" fontId="3" fillId="0" borderId="0" xfId="0" applyFont="1"/>
    <xf numFmtId="0" fontId="10" fillId="0" borderId="7" xfId="0" applyFont="1" applyBorder="1" applyAlignment="1">
      <alignment horizontal="left" vertical="center" wrapText="1"/>
    </xf>
    <xf numFmtId="0" fontId="10"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0" fillId="0" borderId="3" xfId="0" applyBorder="1"/>
    <xf numFmtId="0" fontId="0" fillId="0" borderId="0" xfId="0" applyFont="1"/>
    <xf numFmtId="0" fontId="0" fillId="0" borderId="0" xfId="0" applyAlignment="1">
      <alignment horizontal="center" vertical="center"/>
    </xf>
    <xf numFmtId="0" fontId="12" fillId="0" borderId="0" xfId="0" applyFont="1" applyAlignment="1">
      <alignment vertical="center"/>
    </xf>
    <xf numFmtId="0" fontId="0" fillId="5" borderId="1" xfId="0" applyFill="1" applyBorder="1" applyAlignment="1">
      <alignment horizontal="center" vertical="center" wrapText="1"/>
    </xf>
    <xf numFmtId="0" fontId="0" fillId="6" borderId="1" xfId="0" applyFill="1" applyBorder="1" applyAlignment="1">
      <alignment vertical="center" wrapText="1"/>
    </xf>
    <xf numFmtId="0" fontId="0" fillId="0" borderId="0" xfId="0" applyAlignment="1">
      <alignment horizontal="justify"/>
    </xf>
    <xf numFmtId="0" fontId="0" fillId="0" borderId="1" xfId="0" applyBorder="1" applyAlignment="1">
      <alignment horizontal="center" vertical="center"/>
    </xf>
    <xf numFmtId="0" fontId="0" fillId="5" borderId="1" xfId="0" applyFill="1" applyBorder="1" applyAlignment="1">
      <alignment vertical="center" wrapText="1"/>
    </xf>
    <xf numFmtId="164" fontId="0" fillId="0" borderId="5" xfId="1" applyNumberFormat="1" applyFont="1" applyBorder="1" applyAlignment="1">
      <alignment vertical="center" wrapText="1"/>
    </xf>
    <xf numFmtId="164" fontId="13" fillId="0" borderId="1" xfId="1" applyNumberFormat="1" applyFont="1" applyBorder="1" applyAlignment="1">
      <alignment vertical="center" wrapText="1"/>
    </xf>
    <xf numFmtId="164" fontId="13" fillId="5" borderId="1" xfId="1" applyNumberFormat="1" applyFont="1" applyFill="1" applyBorder="1" applyAlignment="1">
      <alignment vertical="center" wrapText="1"/>
    </xf>
    <xf numFmtId="49" fontId="3" fillId="0" borderId="1" xfId="0" applyNumberFormat="1" applyFont="1" applyBorder="1" applyAlignment="1">
      <alignment horizontal="center" vertical="center"/>
    </xf>
    <xf numFmtId="0" fontId="3" fillId="5" borderId="1" xfId="0" applyFont="1" applyFill="1" applyBorder="1" applyAlignment="1">
      <alignment vertical="center" wrapText="1"/>
    </xf>
    <xf numFmtId="164" fontId="0" fillId="6" borderId="5" xfId="1" applyNumberFormat="1" applyFont="1" applyFill="1" applyBorder="1" applyAlignment="1">
      <alignment vertical="center" wrapText="1"/>
    </xf>
    <xf numFmtId="164" fontId="13" fillId="6" borderId="1" xfId="1" applyNumberFormat="1" applyFont="1" applyFill="1" applyBorder="1" applyAlignment="1">
      <alignment vertical="center" wrapText="1"/>
    </xf>
    <xf numFmtId="49" fontId="0" fillId="0" borderId="1" xfId="0" applyNumberFormat="1" applyBorder="1" applyAlignment="1">
      <alignment horizontal="center" vertical="center"/>
    </xf>
    <xf numFmtId="0" fontId="3" fillId="0" borderId="1" xfId="0" applyFont="1" applyBorder="1" applyAlignment="1">
      <alignment horizontal="center" vertical="center"/>
    </xf>
    <xf numFmtId="0" fontId="18" fillId="0" borderId="0" xfId="0" applyFont="1"/>
    <xf numFmtId="0" fontId="5"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vertical="center" wrapText="1"/>
    </xf>
    <xf numFmtId="164" fontId="0" fillId="0" borderId="1" xfId="1" applyNumberFormat="1" applyFont="1" applyBorder="1" applyAlignment="1">
      <alignment vertical="center" wrapText="1"/>
    </xf>
    <xf numFmtId="164" fontId="0" fillId="0" borderId="1" xfId="1" applyNumberFormat="1" applyFont="1" applyBorder="1" applyAlignment="1">
      <alignment horizontal="center" vertical="center" wrapText="1"/>
    </xf>
    <xf numFmtId="0" fontId="19" fillId="5" borderId="1" xfId="0" applyFont="1" applyFill="1" applyBorder="1" applyAlignment="1">
      <alignment vertical="center" wrapText="1"/>
    </xf>
    <xf numFmtId="0" fontId="0" fillId="0" borderId="1" xfId="0" applyBorder="1" applyAlignment="1">
      <alignment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20" fillId="0" borderId="0" xfId="0" applyFont="1"/>
    <xf numFmtId="0" fontId="4"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horizontal="justify" vertical="center" wrapText="1"/>
    </xf>
    <xf numFmtId="0" fontId="22" fillId="0" borderId="1" xfId="0" applyFont="1" applyBorder="1" applyAlignment="1">
      <alignment horizontal="center" vertical="center" wrapText="1"/>
    </xf>
    <xf numFmtId="0" fontId="23" fillId="7" borderId="1"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 xfId="0" applyFont="1" applyBorder="1" applyAlignment="1">
      <alignment horizontal="left" vertical="center" wrapText="1"/>
    </xf>
    <xf numFmtId="164" fontId="22" fillId="0" borderId="1" xfId="1" applyNumberFormat="1" applyFont="1" applyBorder="1" applyAlignment="1">
      <alignment horizontal="center" vertical="center" wrapText="1"/>
    </xf>
    <xf numFmtId="0" fontId="22" fillId="8" borderId="1" xfId="0" applyFont="1" applyFill="1" applyBorder="1" applyAlignment="1">
      <alignment horizontal="center" vertical="center" wrapText="1"/>
    </xf>
    <xf numFmtId="0" fontId="23" fillId="8" borderId="1" xfId="0" applyFont="1" applyFill="1" applyBorder="1" applyAlignment="1">
      <alignment horizontal="left" vertical="center" wrapText="1"/>
    </xf>
    <xf numFmtId="164" fontId="22" fillId="8" borderId="1" xfId="1" applyNumberFormat="1" applyFont="1" applyFill="1" applyBorder="1" applyAlignment="1">
      <alignment horizontal="center" vertical="center" wrapText="1"/>
    </xf>
    <xf numFmtId="164" fontId="25" fillId="8" borderId="1" xfId="1" applyNumberFormat="1" applyFont="1" applyFill="1" applyBorder="1" applyAlignment="1">
      <alignment horizontal="center" vertical="center" wrapText="1"/>
    </xf>
    <xf numFmtId="0" fontId="23" fillId="0" borderId="1" xfId="0" applyFont="1" applyBorder="1" applyAlignment="1">
      <alignment horizontal="left" vertical="center" wrapText="1"/>
    </xf>
    <xf numFmtId="0" fontId="22" fillId="9" borderId="1" xfId="0" applyFont="1" applyFill="1" applyBorder="1" applyAlignment="1">
      <alignment horizontal="center" vertical="center" wrapText="1"/>
    </xf>
    <xf numFmtId="164" fontId="22" fillId="9" borderId="1" xfId="1" applyNumberFormat="1" applyFont="1" applyFill="1" applyBorder="1" applyAlignment="1">
      <alignment horizontal="center" vertical="center" wrapText="1"/>
    </xf>
    <xf numFmtId="164" fontId="25" fillId="9" borderId="1" xfId="1" applyNumberFormat="1" applyFont="1" applyFill="1" applyBorder="1" applyAlignment="1">
      <alignment horizontal="center" vertical="center" wrapText="1"/>
    </xf>
    <xf numFmtId="0" fontId="25" fillId="0" borderId="1" xfId="0" applyFont="1" applyBorder="1" applyAlignment="1">
      <alignment horizontal="left" vertical="center" wrapText="1"/>
    </xf>
    <xf numFmtId="164" fontId="28" fillId="10" borderId="1" xfId="1" applyNumberFormat="1" applyFont="1" applyFill="1" applyBorder="1" applyAlignment="1">
      <alignment horizontal="justify" vertical="center" wrapText="1"/>
    </xf>
    <xf numFmtId="164" fontId="22" fillId="0" borderId="1" xfId="1" applyNumberFormat="1" applyFont="1" applyBorder="1" applyAlignment="1">
      <alignment vertical="top" wrapText="1"/>
    </xf>
    <xf numFmtId="164" fontId="25" fillId="0" borderId="1" xfId="1" applyNumberFormat="1" applyFont="1" applyBorder="1" applyAlignment="1">
      <alignment horizontal="justify" vertical="center" wrapText="1"/>
    </xf>
    <xf numFmtId="0" fontId="0" fillId="0" borderId="0" xfId="0" applyAlignment="1">
      <alignment wrapText="1"/>
    </xf>
    <xf numFmtId="0" fontId="0" fillId="0" borderId="0" xfId="0" applyAlignment="1">
      <alignment horizontal="center"/>
    </xf>
    <xf numFmtId="0" fontId="29" fillId="0" borderId="0" xfId="0" applyFont="1"/>
    <xf numFmtId="164" fontId="0" fillId="0" borderId="0" xfId="1" applyNumberFormat="1" applyFont="1" applyFill="1"/>
    <xf numFmtId="0" fontId="0" fillId="0" borderId="0" xfId="0" applyAlignment="1">
      <alignment vertical="center"/>
    </xf>
    <xf numFmtId="0" fontId="2" fillId="0" borderId="0" xfId="0" applyFont="1" applyAlignment="1">
      <alignment wrapText="1"/>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10" fillId="0" borderId="0" xfId="0" applyFont="1" applyAlignment="1">
      <alignment vertical="center" wrapText="1"/>
    </xf>
    <xf numFmtId="0" fontId="0" fillId="0" borderId="1" xfId="0" applyBorder="1" applyAlignment="1">
      <alignment vertical="center"/>
    </xf>
    <xf numFmtId="0" fontId="11" fillId="0" borderId="1" xfId="0" applyFont="1" applyBorder="1" applyAlignment="1">
      <alignment vertical="center" wrapText="1"/>
    </xf>
    <xf numFmtId="164" fontId="10" fillId="0" borderId="1" xfId="1" applyNumberFormat="1" applyFont="1" applyFill="1" applyBorder="1" applyAlignment="1">
      <alignment horizontal="center" vertical="center" wrapText="1"/>
    </xf>
    <xf numFmtId="0" fontId="11" fillId="6" borderId="7" xfId="0" applyFont="1" applyFill="1" applyBorder="1" applyAlignment="1">
      <alignment vertical="center"/>
    </xf>
    <xf numFmtId="0" fontId="11" fillId="6" borderId="5" xfId="0" applyFont="1" applyFill="1" applyBorder="1" applyAlignment="1">
      <alignment vertical="center" wrapText="1"/>
    </xf>
    <xf numFmtId="164" fontId="11" fillId="6" borderId="1" xfId="1" applyNumberFormat="1" applyFont="1" applyFill="1" applyBorder="1" applyAlignment="1">
      <alignment vertical="center" wrapText="1"/>
    </xf>
    <xf numFmtId="164" fontId="11" fillId="6" borderId="1" xfId="1" applyNumberFormat="1" applyFont="1" applyFill="1" applyBorder="1" applyAlignment="1">
      <alignment horizontal="center" vertical="center" wrapText="1"/>
    </xf>
    <xf numFmtId="0" fontId="10" fillId="0" borderId="1" xfId="0" applyFont="1" applyBorder="1" applyAlignment="1">
      <alignment horizontal="left" vertical="center" wrapText="1" indent="1"/>
    </xf>
    <xf numFmtId="164" fontId="0" fillId="0" borderId="0" xfId="1" applyNumberFormat="1" applyFont="1"/>
    <xf numFmtId="0" fontId="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0" borderId="1" xfId="0" quotePrefix="1" applyFont="1" applyBorder="1" applyAlignment="1">
      <alignment horizontal="center"/>
    </xf>
    <xf numFmtId="0" fontId="30" fillId="4" borderId="1" xfId="3" applyFont="1" applyFill="1" applyBorder="1" applyAlignment="1">
      <alignment horizontal="left" vertical="center" wrapText="1" indent="1"/>
    </xf>
    <xf numFmtId="3" fontId="7" fillId="4" borderId="1" xfId="4" applyFont="1" applyFill="1" applyAlignment="1">
      <alignment horizontal="center" vertical="center"/>
      <protection locked="0"/>
    </xf>
    <xf numFmtId="0" fontId="9" fillId="4" borderId="1" xfId="0" applyFont="1" applyFill="1" applyBorder="1"/>
    <xf numFmtId="0" fontId="9" fillId="0" borderId="1" xfId="0" applyFont="1" applyBorder="1"/>
    <xf numFmtId="0" fontId="7" fillId="12" borderId="1" xfId="3" applyFont="1" applyFill="1" applyBorder="1" applyAlignment="1">
      <alignment horizontal="left" vertical="center" wrapText="1" indent="2"/>
    </xf>
    <xf numFmtId="3" fontId="7" fillId="0" borderId="1" xfId="4" applyFont="1" applyFill="1" applyAlignment="1">
      <alignment horizontal="center" vertical="center" wrapText="1"/>
      <protection locked="0"/>
    </xf>
    <xf numFmtId="3" fontId="7" fillId="0" borderId="1" xfId="4" quotePrefix="1" applyFont="1" applyFill="1" applyAlignment="1">
      <alignment horizontal="center" vertical="center" wrapText="1"/>
      <protection locked="0"/>
    </xf>
    <xf numFmtId="0" fontId="7" fillId="0" borderId="1" xfId="3" applyFont="1" applyBorder="1" applyAlignment="1">
      <alignment horizontal="left" vertical="center" wrapText="1" indent="3"/>
    </xf>
    <xf numFmtId="3" fontId="7" fillId="0" borderId="1" xfId="4" applyFont="1" applyFill="1" applyAlignment="1">
      <alignment horizontal="center" vertical="center"/>
      <protection locked="0"/>
    </xf>
    <xf numFmtId="0" fontId="9" fillId="0" borderId="1" xfId="0" quotePrefix="1" applyFont="1" applyBorder="1" applyAlignment="1">
      <alignment horizontal="center" vertical="center"/>
    </xf>
    <xf numFmtId="3" fontId="37" fillId="10" borderId="1" xfId="4" applyFont="1" applyFill="1" applyAlignment="1">
      <alignment horizontal="center" vertical="center"/>
      <protection locked="0"/>
    </xf>
    <xf numFmtId="0" fontId="0" fillId="0" borderId="1" xfId="0" quotePrefix="1" applyBorder="1" applyAlignment="1">
      <alignment horizontal="center" vertical="center"/>
    </xf>
    <xf numFmtId="0" fontId="5" fillId="0" borderId="1" xfId="3" applyFont="1" applyBorder="1" applyAlignment="1">
      <alignment horizontal="left" vertical="center" wrapText="1" indent="1"/>
    </xf>
    <xf numFmtId="3" fontId="5" fillId="0" borderId="1" xfId="4" applyFont="1" applyFill="1" applyAlignment="1">
      <alignment horizontal="center" vertical="center"/>
      <protection locked="0"/>
    </xf>
    <xf numFmtId="0" fontId="34" fillId="0" borderId="0" xfId="0" applyFont="1" applyAlignment="1">
      <alignment vertical="center" wrapText="1"/>
    </xf>
    <xf numFmtId="164" fontId="34" fillId="0" borderId="0" xfId="1" applyNumberFormat="1" applyFont="1" applyFill="1" applyAlignment="1">
      <alignment vertical="center" wrapText="1"/>
    </xf>
    <xf numFmtId="0" fontId="10" fillId="0" borderId="9" xfId="0" applyFont="1" applyBorder="1" applyAlignment="1">
      <alignment horizontal="center" vertical="center" wrapText="1"/>
    </xf>
    <xf numFmtId="164" fontId="5" fillId="0" borderId="1" xfId="1" quotePrefix="1" applyNumberFormat="1" applyFont="1" applyFill="1" applyBorder="1"/>
    <xf numFmtId="0" fontId="38" fillId="0" borderId="0" xfId="0" applyFont="1"/>
    <xf numFmtId="164" fontId="0" fillId="0" borderId="1" xfId="1" quotePrefix="1" applyNumberFormat="1" applyFont="1" applyFill="1" applyBorder="1" applyAlignment="1">
      <alignment wrapText="1"/>
    </xf>
    <xf numFmtId="164" fontId="2" fillId="0" borderId="1" xfId="1" quotePrefix="1" applyNumberFormat="1" applyFont="1" applyFill="1" applyBorder="1" applyAlignment="1">
      <alignment wrapText="1"/>
    </xf>
    <xf numFmtId="164" fontId="5" fillId="0" borderId="1" xfId="1" quotePrefix="1" applyNumberFormat="1" applyFont="1" applyFill="1" applyBorder="1" applyAlignment="1">
      <alignment wrapText="1"/>
    </xf>
    <xf numFmtId="164" fontId="0" fillId="0" borderId="1" xfId="1" applyNumberFormat="1" applyFont="1" applyFill="1" applyBorder="1"/>
    <xf numFmtId="164" fontId="0" fillId="0" borderId="1" xfId="1" quotePrefix="1" applyNumberFormat="1" applyFont="1" applyFill="1" applyBorder="1"/>
    <xf numFmtId="0" fontId="11" fillId="0" borderId="0" xfId="0" applyFont="1"/>
    <xf numFmtId="0" fontId="5" fillId="0" borderId="1" xfId="0" applyFont="1" applyBorder="1" applyAlignment="1">
      <alignment horizontal="center" vertical="center"/>
    </xf>
    <xf numFmtId="0" fontId="5" fillId="0" borderId="1" xfId="5" applyFont="1" applyBorder="1" applyAlignment="1">
      <alignment vertical="center" wrapText="1"/>
    </xf>
    <xf numFmtId="0" fontId="5" fillId="4" borderId="1" xfId="0" applyFont="1" applyFill="1" applyBorder="1" applyAlignment="1">
      <alignment horizontal="center"/>
    </xf>
    <xf numFmtId="0" fontId="5" fillId="4" borderId="1" xfId="0" quotePrefix="1" applyFont="1" applyFill="1" applyBorder="1" applyAlignment="1">
      <alignment wrapText="1"/>
    </xf>
    <xf numFmtId="164" fontId="0" fillId="4" borderId="1" xfId="1" quotePrefix="1" applyNumberFormat="1" applyFont="1" applyFill="1" applyBorder="1" applyAlignment="1">
      <alignment wrapText="1"/>
    </xf>
    <xf numFmtId="0" fontId="10" fillId="5" borderId="1" xfId="0" applyFont="1" applyFill="1" applyBorder="1" applyAlignment="1">
      <alignment vertical="center" wrapText="1"/>
    </xf>
    <xf numFmtId="0" fontId="5" fillId="0" borderId="1" xfId="0" applyFont="1" applyBorder="1" applyAlignment="1">
      <alignment horizontal="justify" vertical="top"/>
    </xf>
    <xf numFmtId="0" fontId="5" fillId="0" borderId="1" xfId="5" applyFont="1" applyBorder="1" applyAlignment="1">
      <alignment horizontal="justify" vertical="top"/>
    </xf>
    <xf numFmtId="0" fontId="10" fillId="5"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4" borderId="1" xfId="0" applyFill="1" applyBorder="1" applyAlignment="1">
      <alignment horizontal="center" vertical="center"/>
    </xf>
    <xf numFmtId="0" fontId="3" fillId="4" borderId="1" xfId="0" applyFont="1" applyFill="1" applyBorder="1" applyAlignment="1">
      <alignment horizontal="justify" vertical="top"/>
    </xf>
    <xf numFmtId="0" fontId="5" fillId="0" borderId="1" xfId="0" applyFont="1" applyBorder="1" applyAlignment="1">
      <alignment horizontal="justify" vertical="center"/>
    </xf>
    <xf numFmtId="0" fontId="5" fillId="0" borderId="1" xfId="0" applyFont="1" applyBorder="1" applyAlignment="1">
      <alignment horizontal="justify" vertical="top" wrapText="1"/>
    </xf>
    <xf numFmtId="0" fontId="5" fillId="4" borderId="1" xfId="5" applyFont="1" applyFill="1" applyBorder="1" applyAlignment="1">
      <alignment horizontal="justify" vertical="center"/>
    </xf>
    <xf numFmtId="0" fontId="0" fillId="4" borderId="1" xfId="5" applyFont="1" applyFill="1" applyBorder="1" applyAlignment="1">
      <alignment horizontal="justify" vertical="top"/>
    </xf>
    <xf numFmtId="0" fontId="6" fillId="0" borderId="1" xfId="0" applyFont="1" applyBorder="1" applyAlignment="1">
      <alignment vertical="center"/>
    </xf>
    <xf numFmtId="0" fontId="5" fillId="4" borderId="1" xfId="0" applyFont="1" applyFill="1" applyBorder="1" applyAlignment="1">
      <alignment horizontal="center" vertical="center"/>
    </xf>
    <xf numFmtId="0" fontId="6" fillId="4" borderId="1" xfId="0" applyFont="1" applyFill="1" applyBorder="1" applyAlignment="1">
      <alignment horizontal="justify" vertical="center"/>
    </xf>
    <xf numFmtId="43" fontId="5" fillId="0" borderId="1" xfId="1" quotePrefix="1" applyFont="1" applyFill="1" applyBorder="1" applyAlignment="1">
      <alignment wrapText="1"/>
    </xf>
    <xf numFmtId="0" fontId="10" fillId="5" borderId="1" xfId="0" applyFont="1" applyFill="1" applyBorder="1" applyAlignment="1">
      <alignment horizontal="left" vertical="center" wrapText="1" indent="1"/>
    </xf>
    <xf numFmtId="164" fontId="0" fillId="0" borderId="1" xfId="1" quotePrefix="1" applyNumberFormat="1" applyFont="1" applyBorder="1" applyAlignment="1">
      <alignment wrapText="1"/>
    </xf>
    <xf numFmtId="0" fontId="5" fillId="5" borderId="1" xfId="0" applyFont="1" applyFill="1" applyBorder="1" applyAlignment="1">
      <alignment horizontal="left" vertical="center" wrapText="1" indent="1"/>
    </xf>
    <xf numFmtId="0" fontId="40" fillId="0" borderId="0" xfId="0" applyFont="1" applyAlignment="1">
      <alignment vertical="center"/>
    </xf>
    <xf numFmtId="0" fontId="10" fillId="5" borderId="0" xfId="0" applyFont="1" applyFill="1" applyAlignment="1">
      <alignment vertical="center" wrapText="1"/>
    </xf>
    <xf numFmtId="164" fontId="0" fillId="5" borderId="1" xfId="1" applyNumberFormat="1" applyFont="1" applyFill="1" applyBorder="1" applyAlignment="1">
      <alignment vertical="center" wrapText="1"/>
    </xf>
    <xf numFmtId="0" fontId="35" fillId="5" borderId="1" xfId="0" applyFont="1" applyFill="1" applyBorder="1" applyAlignment="1">
      <alignment vertical="center" wrapText="1"/>
    </xf>
    <xf numFmtId="164" fontId="41" fillId="5" borderId="1" xfId="1" applyNumberFormat="1" applyFont="1" applyFill="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164" fontId="10" fillId="0" borderId="1" xfId="1" applyNumberFormat="1" applyFont="1" applyFill="1" applyBorder="1" applyAlignment="1">
      <alignment vertical="center"/>
    </xf>
    <xf numFmtId="43" fontId="10" fillId="0" borderId="1" xfId="1" applyFont="1" applyFill="1" applyBorder="1" applyAlignment="1">
      <alignment vertical="center"/>
    </xf>
    <xf numFmtId="0" fontId="43" fillId="0" borderId="0" xfId="0" applyFont="1" applyAlignment="1">
      <alignment vertical="center"/>
    </xf>
    <xf numFmtId="0" fontId="43" fillId="0" borderId="0" xfId="0" applyFont="1"/>
    <xf numFmtId="0" fontId="43" fillId="0" borderId="0" xfId="0" applyFont="1" applyAlignment="1">
      <alignment vertical="center" wrapText="1"/>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vertical="center" wrapText="1"/>
    </xf>
    <xf numFmtId="0" fontId="46" fillId="0" borderId="21" xfId="0" applyFont="1" applyBorder="1" applyAlignment="1">
      <alignment horizontal="center" vertical="center" wrapText="1"/>
    </xf>
    <xf numFmtId="49" fontId="46" fillId="0" borderId="18" xfId="0" applyNumberFormat="1" applyFont="1" applyBorder="1" applyAlignment="1">
      <alignment horizontal="center" vertical="center" wrapText="1"/>
    </xf>
    <xf numFmtId="0" fontId="46" fillId="0" borderId="19" xfId="0" applyFont="1" applyBorder="1" applyAlignment="1">
      <alignment vertical="center" wrapText="1"/>
    </xf>
    <xf numFmtId="0" fontId="46" fillId="0" borderId="27" xfId="0" applyFont="1" applyBorder="1" applyAlignment="1">
      <alignment vertical="center" wrapText="1"/>
    </xf>
    <xf numFmtId="49" fontId="47" fillId="5" borderId="26" xfId="0" applyNumberFormat="1" applyFont="1" applyFill="1" applyBorder="1" applyAlignment="1">
      <alignment horizontal="center" vertical="center" wrapText="1"/>
    </xf>
    <xf numFmtId="49" fontId="46" fillId="0" borderId="26" xfId="0" applyNumberFormat="1" applyFont="1" applyBorder="1" applyAlignment="1">
      <alignment horizontal="center" vertical="center" wrapText="1"/>
    </xf>
    <xf numFmtId="0" fontId="48" fillId="0" borderId="27" xfId="0" applyFont="1" applyBorder="1" applyAlignment="1">
      <alignment vertical="center" wrapText="1"/>
    </xf>
    <xf numFmtId="0" fontId="49" fillId="0" borderId="0" xfId="0" applyFont="1" applyAlignment="1">
      <alignment vertical="center"/>
    </xf>
    <xf numFmtId="0" fontId="0" fillId="0" borderId="1" xfId="0" applyBorder="1" applyAlignment="1">
      <alignment horizontal="center"/>
    </xf>
    <xf numFmtId="0" fontId="5" fillId="0" borderId="1" xfId="0" applyFont="1" applyBorder="1" applyAlignment="1">
      <alignment wrapText="1"/>
    </xf>
    <xf numFmtId="0" fontId="51" fillId="0" borderId="1" xfId="0" applyFont="1" applyBorder="1" applyAlignment="1">
      <alignment horizontal="center" vertical="center"/>
    </xf>
    <xf numFmtId="0" fontId="51" fillId="0" borderId="1" xfId="0" applyFont="1" applyBorder="1" applyAlignment="1">
      <alignment wrapText="1"/>
    </xf>
    <xf numFmtId="0" fontId="52" fillId="0" borderId="0" xfId="0" applyFont="1" applyAlignment="1">
      <alignment vertical="center"/>
    </xf>
    <xf numFmtId="0" fontId="52" fillId="0" borderId="0" xfId="0" applyFont="1"/>
    <xf numFmtId="49" fontId="53" fillId="0" borderId="26" xfId="0" applyNumberFormat="1" applyFont="1" applyBorder="1" applyAlignment="1">
      <alignment horizontal="center" vertical="center" wrapText="1"/>
    </xf>
    <xf numFmtId="0" fontId="53" fillId="0" borderId="27" xfId="0" applyFont="1" applyBorder="1" applyAlignment="1">
      <alignment horizontal="left" vertical="center" wrapText="1" indent="1"/>
    </xf>
    <xf numFmtId="0" fontId="1" fillId="0" borderId="28" xfId="0" applyFont="1" applyBorder="1" applyAlignment="1">
      <alignment vertical="center" wrapText="1"/>
    </xf>
    <xf numFmtId="0" fontId="46" fillId="0" borderId="27" xfId="0" applyFont="1" applyBorder="1" applyAlignment="1">
      <alignment horizontal="center" vertical="center" wrapText="1"/>
    </xf>
    <xf numFmtId="0" fontId="46" fillId="0" borderId="26" xfId="0" applyFont="1" applyBorder="1" applyAlignment="1">
      <alignment horizontal="center" vertical="center" wrapText="1"/>
    </xf>
    <xf numFmtId="49" fontId="55" fillId="0" borderId="18" xfId="0" applyNumberFormat="1" applyFont="1" applyBorder="1" applyAlignment="1">
      <alignment horizontal="center" vertical="center" wrapText="1"/>
    </xf>
    <xf numFmtId="0" fontId="55" fillId="0" borderId="19" xfId="0" applyFont="1" applyBorder="1" applyAlignment="1">
      <alignment vertical="center" wrapText="1"/>
    </xf>
    <xf numFmtId="0" fontId="46" fillId="0" borderId="27" xfId="0" applyFont="1" applyBorder="1" applyAlignment="1">
      <alignment horizontal="left" vertical="center" wrapText="1" indent="1"/>
    </xf>
    <xf numFmtId="49" fontId="55" fillId="0" borderId="26" xfId="0" applyNumberFormat="1" applyFont="1" applyBorder="1" applyAlignment="1">
      <alignment horizontal="center" vertical="center" wrapText="1"/>
    </xf>
    <xf numFmtId="0" fontId="55" fillId="0" borderId="27" xfId="0" applyFont="1" applyBorder="1" applyAlignment="1">
      <alignment vertical="center" wrapText="1"/>
    </xf>
    <xf numFmtId="0" fontId="56" fillId="0" borderId="27" xfId="0" applyFont="1" applyBorder="1" applyAlignment="1">
      <alignment vertical="center" wrapText="1"/>
    </xf>
    <xf numFmtId="0" fontId="1" fillId="0" borderId="0" xfId="0" applyFont="1" applyAlignment="1">
      <alignment vertical="center"/>
    </xf>
    <xf numFmtId="0" fontId="46" fillId="0" borderId="0" xfId="0" applyFont="1" applyAlignment="1">
      <alignment vertical="center" wrapText="1"/>
    </xf>
    <xf numFmtId="0" fontId="46" fillId="0" borderId="23" xfId="0" applyFont="1" applyBorder="1" applyAlignment="1">
      <alignment horizontal="center" vertical="center" wrapText="1"/>
    </xf>
    <xf numFmtId="0" fontId="48" fillId="0" borderId="19" xfId="0" applyFont="1" applyBorder="1" applyAlignment="1">
      <alignment vertical="center" wrapText="1"/>
    </xf>
    <xf numFmtId="0" fontId="57" fillId="0" borderId="27" xfId="0" applyFont="1" applyBorder="1" applyAlignment="1">
      <alignment vertical="center" wrapText="1"/>
    </xf>
    <xf numFmtId="0" fontId="43" fillId="0" borderId="12" xfId="0" applyFont="1" applyBorder="1"/>
    <xf numFmtId="0" fontId="56" fillId="0" borderId="18" xfId="0" applyFont="1" applyBorder="1" applyAlignment="1">
      <alignment horizontal="center" vertical="center"/>
    </xf>
    <xf numFmtId="0" fontId="56" fillId="0" borderId="19" xfId="0" applyFont="1" applyBorder="1" applyAlignment="1">
      <alignment horizontal="center" vertical="center"/>
    </xf>
    <xf numFmtId="0" fontId="46" fillId="0" borderId="23" xfId="0" applyFont="1" applyBorder="1" applyAlignment="1">
      <alignment vertical="center"/>
    </xf>
    <xf numFmtId="0" fontId="46" fillId="7" borderId="23" xfId="0" applyFont="1" applyFill="1" applyBorder="1" applyAlignment="1">
      <alignment vertical="center" wrapText="1"/>
    </xf>
    <xf numFmtId="0" fontId="46" fillId="0" borderId="20" xfId="0" applyFont="1" applyBorder="1" applyAlignment="1">
      <alignment vertical="center"/>
    </xf>
    <xf numFmtId="0" fontId="46" fillId="0" borderId="30" xfId="0" applyFont="1" applyBorder="1" applyAlignment="1">
      <alignment vertical="center"/>
    </xf>
    <xf numFmtId="0" fontId="46" fillId="0" borderId="22" xfId="0" applyFont="1" applyBorder="1" applyAlignment="1">
      <alignment vertical="center" wrapText="1"/>
    </xf>
    <xf numFmtId="0" fontId="46" fillId="7" borderId="0" xfId="0" applyFont="1" applyFill="1" applyAlignment="1">
      <alignment vertical="top" wrapText="1"/>
    </xf>
    <xf numFmtId="0" fontId="53" fillId="0" borderId="24" xfId="0" applyFont="1" applyBorder="1" applyAlignment="1">
      <alignment horizontal="center" vertical="center" wrapText="1"/>
    </xf>
    <xf numFmtId="0" fontId="46" fillId="7" borderId="0" xfId="0" applyFont="1" applyFill="1" applyAlignment="1">
      <alignment vertical="center" wrapText="1"/>
    </xf>
    <xf numFmtId="0" fontId="46" fillId="7" borderId="12" xfId="0" applyFont="1" applyFill="1" applyBorder="1" applyAlignment="1">
      <alignment vertical="center" wrapText="1"/>
    </xf>
    <xf numFmtId="49" fontId="56" fillId="0" borderId="18" xfId="0" applyNumberFormat="1" applyFont="1" applyBorder="1" applyAlignment="1">
      <alignment horizontal="center" vertical="center" wrapText="1"/>
    </xf>
    <xf numFmtId="0" fontId="56" fillId="0" borderId="19" xfId="0" applyFont="1" applyBorder="1" applyAlignment="1">
      <alignment vertical="center" wrapText="1"/>
    </xf>
    <xf numFmtId="49" fontId="60" fillId="0" borderId="26" xfId="0" applyNumberFormat="1" applyFont="1" applyBorder="1" applyAlignment="1">
      <alignment horizontal="center" vertical="center" wrapText="1"/>
    </xf>
    <xf numFmtId="0" fontId="60" fillId="0" borderId="27" xfId="0" applyFont="1" applyBorder="1" applyAlignment="1">
      <alignment horizontal="left" vertical="center" wrapText="1" indent="1"/>
    </xf>
    <xf numFmtId="0" fontId="60" fillId="0" borderId="27" xfId="0" applyFont="1" applyBorder="1" applyAlignment="1">
      <alignment horizontal="left" vertical="center" wrapText="1" indent="5"/>
    </xf>
    <xf numFmtId="0" fontId="60" fillId="0" borderId="27" xfId="0" applyFont="1" applyBorder="1" applyAlignment="1">
      <alignment horizontal="left" vertical="center" wrapText="1" indent="10"/>
    </xf>
    <xf numFmtId="49" fontId="56" fillId="0" borderId="26" xfId="0" applyNumberFormat="1" applyFont="1" applyBorder="1" applyAlignment="1">
      <alignment horizontal="center" vertical="center" wrapText="1"/>
    </xf>
    <xf numFmtId="0" fontId="61" fillId="0" borderId="0" xfId="0" applyFont="1" applyAlignment="1">
      <alignment vertical="center"/>
    </xf>
    <xf numFmtId="0" fontId="43" fillId="0" borderId="28" xfId="0" applyFont="1" applyBorder="1"/>
    <xf numFmtId="0" fontId="62" fillId="0" borderId="0" xfId="0" applyFont="1" applyAlignment="1">
      <alignment vertical="center"/>
    </xf>
    <xf numFmtId="0" fontId="16" fillId="0" borderId="27" xfId="0" applyFont="1" applyBorder="1" applyAlignment="1">
      <alignment horizontal="center" vertical="center" wrapText="1"/>
    </xf>
    <xf numFmtId="0" fontId="16" fillId="0" borderId="27" xfId="0" applyFont="1" applyBorder="1" applyAlignment="1">
      <alignment horizontal="center" vertical="center"/>
    </xf>
    <xf numFmtId="0" fontId="62" fillId="0" borderId="0" xfId="0" applyFont="1"/>
    <xf numFmtId="0" fontId="16" fillId="7" borderId="28" xfId="0" applyFont="1" applyFill="1" applyBorder="1" applyAlignment="1">
      <alignment vertical="center"/>
    </xf>
    <xf numFmtId="0" fontId="16" fillId="0" borderId="12" xfId="0" applyFont="1" applyBorder="1" applyAlignment="1">
      <alignment vertical="center" wrapText="1"/>
    </xf>
    <xf numFmtId="0" fontId="16" fillId="0" borderId="27" xfId="0" applyFont="1" applyBorder="1" applyAlignment="1">
      <alignment vertical="center" wrapText="1"/>
    </xf>
    <xf numFmtId="0" fontId="16" fillId="0" borderId="19" xfId="0" applyFont="1" applyBorder="1" applyAlignment="1">
      <alignment horizontal="center" vertical="center" wrapText="1"/>
    </xf>
    <xf numFmtId="0" fontId="16" fillId="0" borderId="12" xfId="0" applyFont="1" applyBorder="1" applyAlignment="1">
      <alignment horizontal="center" vertical="center" wrapText="1"/>
    </xf>
    <xf numFmtId="49" fontId="63" fillId="0" borderId="18" xfId="0" applyNumberFormat="1" applyFont="1" applyBorder="1" applyAlignment="1">
      <alignment horizontal="center" vertical="center" wrapText="1"/>
    </xf>
    <xf numFmtId="49" fontId="63" fillId="0" borderId="26" xfId="0" applyNumberFormat="1" applyFont="1" applyBorder="1" applyAlignment="1">
      <alignment horizontal="center" vertical="center" wrapText="1"/>
    </xf>
    <xf numFmtId="49" fontId="64" fillId="0" borderId="26" xfId="0" applyNumberFormat="1" applyFont="1" applyBorder="1" applyAlignment="1">
      <alignment horizontal="center" vertical="center" wrapText="1"/>
    </xf>
    <xf numFmtId="0" fontId="15" fillId="5" borderId="27" xfId="0" applyFont="1" applyFill="1" applyBorder="1" applyAlignment="1">
      <alignment horizontal="left" vertical="center" wrapText="1" indent="2"/>
    </xf>
    <xf numFmtId="49" fontId="65" fillId="0" borderId="26" xfId="0" applyNumberFormat="1" applyFont="1" applyBorder="1" applyAlignment="1">
      <alignment horizontal="center" vertical="center" wrapText="1"/>
    </xf>
    <xf numFmtId="0" fontId="66" fillId="0" borderId="27" xfId="0" applyFont="1" applyBorder="1" applyAlignment="1">
      <alignment vertical="center" wrapText="1"/>
    </xf>
    <xf numFmtId="0" fontId="0" fillId="0" borderId="0" xfId="0" applyAlignment="1">
      <alignment vertical="center" wrapText="1"/>
    </xf>
    <xf numFmtId="0" fontId="68" fillId="0" borderId="0" xfId="0" applyFont="1" applyAlignment="1">
      <alignment vertical="center" wrapText="1"/>
    </xf>
    <xf numFmtId="0" fontId="70" fillId="0" borderId="0" xfId="0" applyFont="1"/>
    <xf numFmtId="0" fontId="3" fillId="0" borderId="1" xfId="0" applyFont="1" applyBorder="1" applyAlignment="1">
      <alignment horizontal="center" vertical="center" wrapText="1"/>
    </xf>
    <xf numFmtId="0" fontId="72" fillId="0" borderId="1" xfId="0" applyFont="1" applyBorder="1" applyAlignment="1">
      <alignment horizontal="center" vertical="center" wrapText="1"/>
    </xf>
    <xf numFmtId="164" fontId="0" fillId="0" borderId="5" xfId="1" applyNumberFormat="1" applyFont="1" applyFill="1" applyBorder="1" applyAlignment="1">
      <alignment wrapText="1"/>
    </xf>
    <xf numFmtId="164" fontId="0" fillId="0" borderId="1" xfId="1" applyNumberFormat="1" applyFont="1" applyFill="1" applyBorder="1" applyAlignment="1">
      <alignment wrapText="1"/>
    </xf>
    <xf numFmtId="43" fontId="0" fillId="0" borderId="1" xfId="1" applyFont="1" applyFill="1" applyBorder="1" applyAlignment="1">
      <alignment wrapText="1"/>
    </xf>
    <xf numFmtId="0" fontId="5" fillId="0" borderId="1" xfId="0" applyFont="1" applyBorder="1" applyAlignment="1">
      <alignment horizontal="left" vertical="center" wrapText="1"/>
    </xf>
    <xf numFmtId="0" fontId="73" fillId="0" borderId="1" xfId="0" applyFont="1" applyBorder="1" applyAlignment="1">
      <alignment horizontal="center" vertical="center" wrapText="1"/>
    </xf>
    <xf numFmtId="0" fontId="73" fillId="0" borderId="1" xfId="0" applyFont="1" applyBorder="1" applyAlignment="1">
      <alignment vertical="center" wrapText="1"/>
    </xf>
    <xf numFmtId="0" fontId="3" fillId="7" borderId="8" xfId="0" applyFont="1" applyFill="1" applyBorder="1" applyAlignment="1">
      <alignment wrapText="1"/>
    </xf>
    <xf numFmtId="0" fontId="0" fillId="7" borderId="1" xfId="0" applyFill="1" applyBorder="1" applyAlignment="1">
      <alignment wrapText="1"/>
    </xf>
    <xf numFmtId="0" fontId="0" fillId="0" borderId="5" xfId="0" applyBorder="1" applyAlignment="1">
      <alignment wrapText="1"/>
    </xf>
    <xf numFmtId="0" fontId="0" fillId="0" borderId="1" xfId="0" applyBorder="1" applyAlignment="1">
      <alignment wrapText="1"/>
    </xf>
    <xf numFmtId="0" fontId="0" fillId="7" borderId="10" xfId="0" applyFill="1" applyBorder="1" applyAlignment="1">
      <alignment wrapText="1"/>
    </xf>
    <xf numFmtId="0" fontId="5" fillId="7" borderId="5" xfId="0" applyFont="1" applyFill="1" applyBorder="1" applyAlignment="1">
      <alignment horizontal="left" vertical="center" wrapText="1"/>
    </xf>
    <xf numFmtId="0" fontId="0" fillId="7" borderId="11" xfId="0" applyFill="1" applyBorder="1" applyAlignment="1">
      <alignment wrapText="1"/>
    </xf>
    <xf numFmtId="0" fontId="74" fillId="7" borderId="5" xfId="0" applyFont="1" applyFill="1" applyBorder="1" applyAlignment="1">
      <alignment horizontal="left" vertical="center" wrapText="1" indent="3"/>
    </xf>
    <xf numFmtId="0" fontId="0" fillId="7" borderId="9" xfId="0" applyFill="1" applyBorder="1" applyAlignment="1">
      <alignment wrapText="1"/>
    </xf>
    <xf numFmtId="0" fontId="0" fillId="20" borderId="1" xfId="0" applyFill="1" applyBorder="1" applyAlignment="1">
      <alignment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68" fillId="0" borderId="0" xfId="0" applyFont="1" applyAlignment="1">
      <alignment wrapText="1"/>
    </xf>
    <xf numFmtId="0" fontId="75" fillId="0" borderId="0" xfId="0" applyFont="1"/>
    <xf numFmtId="0" fontId="55" fillId="0" borderId="0" xfId="0" applyFont="1" applyAlignment="1">
      <alignment vertical="center" wrapText="1"/>
    </xf>
    <xf numFmtId="0" fontId="46" fillId="0" borderId="0" xfId="0" applyFont="1" applyAlignment="1">
      <alignment horizontal="center" vertical="center" wrapText="1"/>
    </xf>
    <xf numFmtId="0" fontId="56" fillId="0" borderId="0" xfId="0" applyFont="1" applyAlignment="1">
      <alignment vertical="center" wrapText="1"/>
    </xf>
    <xf numFmtId="0" fontId="76" fillId="0" borderId="0" xfId="0" applyFont="1" applyAlignment="1">
      <alignment vertical="center" wrapText="1"/>
    </xf>
    <xf numFmtId="0" fontId="54" fillId="0" borderId="1" xfId="0" applyFont="1" applyBorder="1" applyAlignment="1">
      <alignment horizontal="center" vertical="center" wrapText="1"/>
    </xf>
    <xf numFmtId="0" fontId="77"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1" xfId="0" applyFont="1" applyBorder="1" applyAlignment="1">
      <alignment vertical="center" wrapText="1"/>
    </xf>
    <xf numFmtId="0" fontId="56" fillId="0" borderId="5" xfId="0" applyFont="1" applyBorder="1" applyAlignment="1">
      <alignment vertical="center" wrapText="1"/>
    </xf>
    <xf numFmtId="0" fontId="78" fillId="0" borderId="1" xfId="0" applyFont="1" applyBorder="1" applyAlignment="1">
      <alignment vertical="center" wrapText="1"/>
    </xf>
    <xf numFmtId="0" fontId="78" fillId="4" borderId="1" xfId="0" applyFont="1" applyFill="1" applyBorder="1" applyAlignment="1">
      <alignment vertical="center" wrapText="1"/>
    </xf>
    <xf numFmtId="0" fontId="60" fillId="0" borderId="1" xfId="0" applyFont="1" applyBorder="1" applyAlignment="1">
      <alignment vertical="center" wrapText="1"/>
    </xf>
    <xf numFmtId="0" fontId="60" fillId="4" borderId="1" xfId="0" applyFont="1" applyFill="1" applyBorder="1" applyAlignment="1">
      <alignment vertical="center" wrapText="1"/>
    </xf>
    <xf numFmtId="0" fontId="77" fillId="0" borderId="1" xfId="0" applyFont="1" applyBorder="1" applyAlignment="1">
      <alignment vertical="center" wrapText="1"/>
    </xf>
    <xf numFmtId="0" fontId="68" fillId="0" borderId="0" xfId="0" applyFont="1"/>
    <xf numFmtId="0" fontId="79" fillId="0" borderId="0" xfId="0" applyFont="1" applyAlignment="1">
      <alignment vertical="center" wrapText="1"/>
    </xf>
    <xf numFmtId="0" fontId="71" fillId="0" borderId="1" xfId="0" applyFont="1" applyBorder="1" applyAlignment="1">
      <alignment horizontal="center" vertical="center" wrapText="1"/>
    </xf>
    <xf numFmtId="0" fontId="79" fillId="0" borderId="1" xfId="0" applyFont="1" applyBorder="1" applyAlignment="1">
      <alignment horizontal="center" vertical="center" wrapText="1"/>
    </xf>
    <xf numFmtId="0" fontId="79" fillId="0" borderId="1" xfId="0" applyFont="1" applyBorder="1" applyAlignment="1">
      <alignment vertical="center" wrapText="1"/>
    </xf>
    <xf numFmtId="0" fontId="42" fillId="0" borderId="1" xfId="0" applyFont="1" applyBorder="1" applyAlignment="1">
      <alignment vertical="center" wrapText="1"/>
    </xf>
    <xf numFmtId="0" fontId="0" fillId="0" borderId="0" xfId="0" quotePrefix="1" applyAlignment="1">
      <alignment horizontal="left" vertical="center" indent="5"/>
    </xf>
    <xf numFmtId="0" fontId="46" fillId="7" borderId="6" xfId="0" applyFont="1" applyFill="1" applyBorder="1" applyAlignment="1">
      <alignment horizontal="center" vertical="center" wrapText="1"/>
    </xf>
    <xf numFmtId="0" fontId="46" fillId="7" borderId="11"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46" fillId="0" borderId="1" xfId="0" applyFont="1" applyBorder="1" applyAlignment="1">
      <alignment horizontal="center" vertical="center" wrapText="1"/>
    </xf>
    <xf numFmtId="0" fontId="46" fillId="0" borderId="1" xfId="0" applyFont="1" applyBorder="1" applyAlignment="1">
      <alignment vertical="center" wrapText="1"/>
    </xf>
    <xf numFmtId="0" fontId="0" fillId="0" borderId="9" xfId="0" applyBorder="1"/>
    <xf numFmtId="0" fontId="0" fillId="0" borderId="15" xfId="0" applyBorder="1"/>
    <xf numFmtId="0" fontId="0" fillId="0" borderId="7" xfId="0" applyBorder="1"/>
    <xf numFmtId="0" fontId="19" fillId="0" borderId="1" xfId="0" applyFont="1" applyBorder="1"/>
    <xf numFmtId="0" fontId="57" fillId="0" borderId="1" xfId="0" applyFont="1" applyBorder="1" applyAlignment="1">
      <alignment vertical="center" wrapText="1"/>
    </xf>
    <xf numFmtId="0" fontId="46" fillId="7" borderId="1" xfId="0" applyFont="1" applyFill="1" applyBorder="1" applyAlignment="1">
      <alignment horizontal="center" vertical="center" wrapText="1"/>
    </xf>
    <xf numFmtId="0" fontId="83" fillId="0" borderId="0" xfId="0" applyFont="1"/>
    <xf numFmtId="0" fontId="3" fillId="0" borderId="1" xfId="0" applyFont="1" applyBorder="1" applyAlignment="1">
      <alignment vertical="center"/>
    </xf>
    <xf numFmtId="0" fontId="69" fillId="0" borderId="0" xfId="0" applyFont="1" applyAlignment="1">
      <alignment wrapText="1"/>
    </xf>
    <xf numFmtId="0" fontId="20" fillId="0" borderId="0" xfId="0" applyFont="1" applyAlignment="1">
      <alignment wrapText="1"/>
    </xf>
    <xf numFmtId="0" fontId="32" fillId="0" borderId="0" xfId="0" applyFont="1"/>
    <xf numFmtId="0" fontId="58" fillId="0" borderId="9" xfId="0" applyFont="1" applyBorder="1" applyAlignment="1">
      <alignment horizontal="center" vertical="center" wrapText="1"/>
    </xf>
    <xf numFmtId="0" fontId="58" fillId="0" borderId="10" xfId="0" applyFont="1" applyBorder="1" applyAlignment="1">
      <alignment vertical="center" wrapText="1"/>
    </xf>
    <xf numFmtId="0" fontId="7" fillId="0" borderId="5" xfId="0" applyFont="1" applyBorder="1" applyAlignment="1">
      <alignment horizontal="left" vertical="center" wrapText="1"/>
    </xf>
    <xf numFmtId="0" fontId="84" fillId="0" borderId="5" xfId="0" applyFont="1" applyBorder="1" applyAlignment="1">
      <alignment horizontal="left" vertical="center" wrapText="1" indent="3"/>
    </xf>
    <xf numFmtId="0" fontId="85" fillId="0" borderId="5" xfId="0" applyFont="1" applyBorder="1" applyAlignment="1">
      <alignment horizontal="left" vertical="center" wrapText="1" indent="3"/>
    </xf>
    <xf numFmtId="0" fontId="45" fillId="0" borderId="10" xfId="0" applyFont="1" applyBorder="1" applyAlignment="1">
      <alignment horizontal="center" vertical="center" wrapText="1"/>
    </xf>
    <xf numFmtId="0" fontId="5" fillId="0" borderId="1" xfId="0" applyFont="1" applyBorder="1" applyAlignment="1">
      <alignment horizontal="center"/>
    </xf>
    <xf numFmtId="9" fontId="0" fillId="0" borderId="1" xfId="0" applyNumberFormat="1" applyBorder="1" applyAlignment="1">
      <alignment horizontal="center" wrapText="1"/>
    </xf>
    <xf numFmtId="0" fontId="0" fillId="0" borderId="1" xfId="0" applyBorder="1" applyAlignment="1">
      <alignment horizontal="center" wrapText="1"/>
    </xf>
    <xf numFmtId="0" fontId="6" fillId="0" borderId="1" xfId="0" applyFont="1" applyBorder="1" applyAlignment="1">
      <alignment horizontal="center" wrapText="1"/>
    </xf>
    <xf numFmtId="0" fontId="3" fillId="0" borderId="1" xfId="0" applyFont="1" applyBorder="1" applyAlignment="1">
      <alignment horizontal="center" wrapText="1"/>
    </xf>
    <xf numFmtId="0" fontId="86" fillId="0" borderId="0" xfId="0" applyFont="1"/>
    <xf numFmtId="0" fontId="59"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36" fillId="0" borderId="1" xfId="0" applyFont="1" applyBorder="1" applyAlignment="1">
      <alignment horizontal="center" vertical="center" wrapText="1"/>
    </xf>
    <xf numFmtId="0" fontId="13" fillId="0" borderId="0" xfId="0" applyFont="1" applyAlignment="1">
      <alignment vertical="center" wrapText="1"/>
    </xf>
    <xf numFmtId="0" fontId="36" fillId="0" borderId="1" xfId="0" applyFont="1" applyBorder="1" applyAlignment="1">
      <alignment vertical="center" wrapText="1"/>
    </xf>
    <xf numFmtId="0" fontId="20" fillId="0" borderId="1" xfId="0" applyFont="1" applyBorder="1" applyAlignment="1">
      <alignment vertical="center" wrapText="1"/>
    </xf>
    <xf numFmtId="0" fontId="88" fillId="0" borderId="0" xfId="0" applyFont="1"/>
    <xf numFmtId="0" fontId="13" fillId="0" borderId="0" xfId="0" applyFont="1"/>
    <xf numFmtId="0" fontId="89" fillId="0" borderId="1" xfId="0" applyFont="1" applyBorder="1" applyAlignment="1">
      <alignment vertical="center" wrapText="1"/>
    </xf>
    <xf numFmtId="0" fontId="41" fillId="0" borderId="0" xfId="0" applyFont="1" applyAlignment="1">
      <alignment horizontal="center" vertical="center"/>
    </xf>
    <xf numFmtId="164" fontId="36" fillId="0" borderId="1" xfId="1" applyNumberFormat="1" applyFont="1" applyBorder="1" applyAlignment="1">
      <alignment vertical="center" wrapText="1"/>
    </xf>
    <xf numFmtId="0" fontId="89" fillId="0" borderId="1" xfId="0" applyFont="1" applyBorder="1" applyAlignment="1">
      <alignment vertical="center"/>
    </xf>
    <xf numFmtId="0" fontId="0" fillId="0" borderId="0" xfId="0" applyAlignment="1">
      <alignment horizontal="left" vertical="top"/>
    </xf>
    <xf numFmtId="0" fontId="90" fillId="0" borderId="0" xfId="0" applyFont="1" applyAlignment="1">
      <alignment horizontal="center" vertical="center" wrapText="1"/>
    </xf>
    <xf numFmtId="0" fontId="0" fillId="0" borderId="2" xfId="0" applyBorder="1" applyAlignment="1">
      <alignment vertical="center"/>
    </xf>
    <xf numFmtId="0" fontId="5" fillId="0" borderId="1" xfId="0" applyFont="1" applyBorder="1" applyAlignment="1">
      <alignment horizontal="center" vertical="top"/>
    </xf>
    <xf numFmtId="0" fontId="5" fillId="0" borderId="9" xfId="0" applyFont="1" applyBorder="1" applyAlignment="1">
      <alignment horizontal="center" vertical="center"/>
    </xf>
    <xf numFmtId="0" fontId="91" fillId="0" borderId="0" xfId="0" applyFont="1"/>
    <xf numFmtId="0" fontId="55" fillId="0" borderId="0" xfId="0" applyFont="1" applyAlignment="1">
      <alignment horizontal="center" vertical="center" wrapText="1"/>
    </xf>
    <xf numFmtId="0" fontId="36" fillId="0" borderId="0" xfId="0" applyFont="1" applyAlignment="1">
      <alignment vertical="center" wrapText="1"/>
    </xf>
    <xf numFmtId="0" fontId="87" fillId="0" borderId="0" xfId="0" applyFont="1" applyAlignment="1">
      <alignment vertical="center" wrapText="1"/>
    </xf>
    <xf numFmtId="0" fontId="89" fillId="0" borderId="1" xfId="0" applyFont="1" applyBorder="1" applyAlignment="1">
      <alignment horizontal="center" vertical="center" wrapText="1"/>
    </xf>
    <xf numFmtId="0" fontId="92" fillId="0" borderId="0" xfId="0" applyFont="1"/>
    <xf numFmtId="0" fontId="36" fillId="0" borderId="0" xfId="0" applyFont="1" applyAlignment="1">
      <alignment horizontal="center" vertical="center" wrapText="1"/>
    </xf>
    <xf numFmtId="0" fontId="36" fillId="0" borderId="0" xfId="0" applyFont="1" applyAlignment="1">
      <alignment horizontal="center" vertical="center"/>
    </xf>
    <xf numFmtId="164" fontId="36" fillId="6" borderId="1" xfId="1" applyNumberFormat="1" applyFont="1" applyFill="1" applyBorder="1" applyAlignment="1">
      <alignment vertical="center"/>
    </xf>
    <xf numFmtId="164" fontId="36" fillId="0" borderId="1" xfId="1" applyNumberFormat="1" applyFont="1" applyBorder="1" applyAlignment="1">
      <alignment vertical="center"/>
    </xf>
    <xf numFmtId="164" fontId="36" fillId="18" borderId="1" xfId="1" applyNumberFormat="1" applyFont="1" applyFill="1" applyBorder="1" applyAlignment="1">
      <alignment vertical="center"/>
    </xf>
    <xf numFmtId="0" fontId="5" fillId="0" borderId="9"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5" fillId="0" borderId="10" xfId="0" applyFont="1" applyBorder="1" applyAlignment="1">
      <alignment horizontal="left" wrapText="1"/>
    </xf>
    <xf numFmtId="0" fontId="5" fillId="0" borderId="1" xfId="0" applyFont="1" applyBorder="1"/>
    <xf numFmtId="0" fontId="5" fillId="0" borderId="1" xfId="0" applyFont="1" applyBorder="1" applyAlignment="1">
      <alignment horizontal="left" wrapText="1"/>
    </xf>
    <xf numFmtId="0" fontId="5" fillId="0" borderId="7" xfId="0" applyFont="1" applyBorder="1" applyAlignment="1">
      <alignment horizontal="left" wrapText="1"/>
    </xf>
    <xf numFmtId="0" fontId="5" fillId="0" borderId="7" xfId="0" applyFont="1" applyBorder="1"/>
    <xf numFmtId="0" fontId="12" fillId="0" borderId="0" xfId="0" applyFont="1" applyAlignment="1">
      <alignment horizontal="left"/>
    </xf>
    <xf numFmtId="0" fontId="29" fillId="0" borderId="0" xfId="0" applyFont="1" applyAlignment="1">
      <alignment horizontal="left"/>
    </xf>
    <xf numFmtId="0" fontId="6" fillId="0" borderId="1" xfId="0" applyFont="1" applyBorder="1" applyAlignment="1">
      <alignment horizontal="center"/>
    </xf>
    <xf numFmtId="0" fontId="3" fillId="0" borderId="0" xfId="0" applyFont="1" applyAlignment="1">
      <alignment horizontal="left"/>
    </xf>
    <xf numFmtId="0" fontId="93" fillId="0" borderId="1" xfId="0" applyFont="1" applyBorder="1" applyAlignment="1">
      <alignment vertical="center" wrapText="1"/>
    </xf>
    <xf numFmtId="164" fontId="0" fillId="0" borderId="0" xfId="0" applyNumberFormat="1"/>
    <xf numFmtId="0" fontId="13"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1" xfId="0" applyFont="1" applyFill="1" applyBorder="1" applyAlignment="1">
      <alignment vertical="center" wrapText="1"/>
    </xf>
    <xf numFmtId="164" fontId="13" fillId="7" borderId="1" xfId="1" applyNumberFormat="1" applyFont="1" applyFill="1" applyBorder="1" applyAlignment="1">
      <alignment vertical="center" wrapText="1"/>
    </xf>
    <xf numFmtId="0" fontId="13" fillId="7" borderId="1" xfId="0" applyFont="1" applyFill="1" applyBorder="1" applyAlignment="1">
      <alignment vertical="center" wrapText="1"/>
    </xf>
    <xf numFmtId="164" fontId="13" fillId="19" borderId="1" xfId="1" applyNumberFormat="1" applyFont="1" applyFill="1" applyBorder="1" applyAlignment="1">
      <alignment vertical="center" wrapText="1"/>
    </xf>
    <xf numFmtId="0" fontId="13" fillId="7" borderId="1" xfId="0" applyFont="1" applyFill="1" applyBorder="1" applyAlignment="1">
      <alignment horizontal="justify" vertical="center" wrapText="1"/>
    </xf>
    <xf numFmtId="0" fontId="36" fillId="0" borderId="1" xfId="0" applyFont="1" applyBorder="1" applyAlignment="1">
      <alignment horizontal="justify" vertical="center" wrapText="1"/>
    </xf>
    <xf numFmtId="0" fontId="86" fillId="0" borderId="0" xfId="0" applyFont="1" applyAlignment="1">
      <alignment vertical="center" wrapText="1"/>
    </xf>
    <xf numFmtId="0" fontId="95" fillId="0" borderId="1" xfId="0" applyFont="1" applyBorder="1" applyAlignment="1">
      <alignment horizontal="right" vertical="center" wrapText="1"/>
    </xf>
    <xf numFmtId="0" fontId="95" fillId="0" borderId="1" xfId="0" applyFont="1" applyBorder="1" applyAlignment="1">
      <alignment vertical="center" wrapText="1"/>
    </xf>
    <xf numFmtId="0" fontId="13" fillId="5" borderId="1" xfId="0" applyFont="1" applyFill="1" applyBorder="1" applyAlignment="1">
      <alignment vertical="center" wrapText="1"/>
    </xf>
    <xf numFmtId="0" fontId="3" fillId="0" borderId="0" xfId="0" applyFont="1" applyAlignment="1">
      <alignment horizontal="center" vertical="center" wrapText="1"/>
    </xf>
    <xf numFmtId="0" fontId="5" fillId="0" borderId="1" xfId="7" applyFont="1" applyBorder="1" applyAlignment="1">
      <alignment horizontal="left" vertical="center" wrapText="1"/>
    </xf>
    <xf numFmtId="164" fontId="5" fillId="0" borderId="1" xfId="1" applyNumberFormat="1" applyFont="1" applyFill="1" applyBorder="1" applyAlignment="1">
      <alignment horizontal="center" vertical="center" wrapText="1"/>
    </xf>
    <xf numFmtId="0" fontId="5" fillId="0" borderId="1" xfId="7" applyFont="1" applyBorder="1" applyAlignment="1">
      <alignment vertical="center" wrapText="1"/>
    </xf>
    <xf numFmtId="164" fontId="5" fillId="4" borderId="1" xfId="1" applyNumberFormat="1" applyFont="1" applyFill="1" applyBorder="1" applyAlignment="1">
      <alignment horizontal="center" vertical="center" wrapText="1"/>
    </xf>
    <xf numFmtId="164" fontId="5" fillId="4" borderId="1" xfId="1" applyNumberFormat="1" applyFont="1" applyFill="1" applyBorder="1" applyAlignment="1">
      <alignment wrapText="1"/>
    </xf>
    <xf numFmtId="0" fontId="5" fillId="0" borderId="1" xfId="7" quotePrefix="1" applyFont="1" applyBorder="1" applyAlignment="1">
      <alignment horizontal="center" vertical="center" wrapText="1"/>
    </xf>
    <xf numFmtId="0" fontId="98" fillId="0" borderId="0" xfId="0" applyFont="1"/>
    <xf numFmtId="164" fontId="5" fillId="0" borderId="1" xfId="1" applyNumberFormat="1" applyFont="1" applyBorder="1"/>
    <xf numFmtId="0" fontId="5" fillId="0" borderId="1" xfId="0" applyFont="1" applyBorder="1" applyAlignment="1">
      <alignment horizontal="left" wrapText="1" indent="2"/>
    </xf>
    <xf numFmtId="164" fontId="5" fillId="0" borderId="6" xfId="1" applyNumberFormat="1" applyFont="1" applyBorder="1"/>
    <xf numFmtId="0" fontId="99" fillId="0" borderId="0" xfId="0" applyFont="1"/>
    <xf numFmtId="0" fontId="5" fillId="0" borderId="0" xfId="0" applyFont="1" applyAlignment="1">
      <alignment horizontal="left" wrapText="1"/>
    </xf>
    <xf numFmtId="0" fontId="99"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wrapText="1"/>
    </xf>
    <xf numFmtId="0" fontId="100" fillId="0" borderId="1" xfId="8" applyFont="1" applyBorder="1" applyAlignment="1">
      <alignment wrapText="1"/>
    </xf>
    <xf numFmtId="164" fontId="0" fillId="0" borderId="1" xfId="1" applyNumberFormat="1" applyFont="1" applyBorder="1"/>
    <xf numFmtId="0" fontId="5" fillId="0" borderId="0" xfId="0" applyFont="1" applyAlignment="1">
      <alignment horizontal="left" vertical="center" wrapText="1"/>
    </xf>
    <xf numFmtId="0" fontId="5" fillId="0" borderId="0" xfId="0" applyFont="1" applyAlignment="1">
      <alignment horizontal="left" vertical="center"/>
    </xf>
    <xf numFmtId="0" fontId="36" fillId="0" borderId="0" xfId="6">
      <alignment vertical="center"/>
    </xf>
    <xf numFmtId="0" fontId="102" fillId="0" borderId="0" xfId="11" applyFill="1" applyBorder="1" applyAlignment="1">
      <alignment vertical="center"/>
    </xf>
    <xf numFmtId="0" fontId="92" fillId="0" borderId="0" xfId="10" applyFill="1" applyBorder="1" applyAlignment="1">
      <alignment vertical="center"/>
    </xf>
    <xf numFmtId="0" fontId="92" fillId="0" borderId="0" xfId="10" applyFill="1" applyBorder="1" applyAlignment="1">
      <alignment horizontal="left" vertical="center"/>
    </xf>
    <xf numFmtId="0" fontId="5" fillId="0" borderId="0" xfId="6" applyFont="1">
      <alignment vertical="center"/>
    </xf>
    <xf numFmtId="0" fontId="5" fillId="0" borderId="1" xfId="3" quotePrefix="1" applyFont="1" applyBorder="1" applyAlignment="1">
      <alignment horizontal="center" vertical="center"/>
    </xf>
    <xf numFmtId="0" fontId="6" fillId="0" borderId="1" xfId="3" quotePrefix="1" applyFont="1" applyBorder="1" applyAlignment="1">
      <alignment horizontal="center" vertical="center"/>
    </xf>
    <xf numFmtId="164" fontId="5" fillId="0" borderId="1" xfId="1" applyNumberFormat="1" applyFont="1" applyFill="1" applyBorder="1" applyAlignment="1" applyProtection="1">
      <alignment horizontal="center" vertical="center"/>
      <protection locked="0"/>
    </xf>
    <xf numFmtId="164" fontId="5" fillId="19" borderId="1" xfId="1" applyNumberFormat="1" applyFont="1" applyFill="1" applyBorder="1" applyAlignment="1" applyProtection="1">
      <alignment horizontal="center" vertical="center"/>
      <protection locked="0"/>
    </xf>
    <xf numFmtId="0" fontId="103" fillId="0" borderId="0" xfId="3" quotePrefix="1" applyFont="1" applyAlignment="1">
      <alignment horizontal="right" vertical="center"/>
    </xf>
    <xf numFmtId="3" fontId="105" fillId="0" borderId="0" xfId="4" applyFont="1" applyFill="1" applyBorder="1" applyAlignment="1">
      <alignment horizontal="center" vertical="center"/>
      <protection locked="0"/>
    </xf>
    <xf numFmtId="0" fontId="12" fillId="0" borderId="0" xfId="10" applyFont="1" applyFill="1" applyBorder="1" applyAlignment="1">
      <alignment horizontal="left" vertical="center" indent="1"/>
    </xf>
    <xf numFmtId="0" fontId="5" fillId="0" borderId="0" xfId="6" applyFont="1" applyAlignment="1">
      <alignment horizontal="left" vertical="center" wrapText="1" indent="1"/>
    </xf>
    <xf numFmtId="0" fontId="6" fillId="0" borderId="8" xfId="3" applyFont="1" applyBorder="1" applyAlignment="1">
      <alignment horizontal="left" vertical="center" wrapText="1" indent="1"/>
    </xf>
    <xf numFmtId="0" fontId="5" fillId="0" borderId="6" xfId="3" applyFont="1" applyBorder="1" applyAlignment="1">
      <alignment horizontal="left" vertical="center" wrapText="1" indent="2"/>
    </xf>
    <xf numFmtId="0" fontId="5" fillId="0" borderId="14" xfId="3" applyFont="1" applyBorder="1" applyAlignment="1">
      <alignment horizontal="left" vertical="center" wrapText="1" indent="3"/>
    </xf>
    <xf numFmtId="0" fontId="104" fillId="0" borderId="14" xfId="3" applyFont="1" applyBorder="1" applyAlignment="1">
      <alignment horizontal="left" vertical="center" wrapText="1" indent="3"/>
    </xf>
    <xf numFmtId="0" fontId="6" fillId="0" borderId="1" xfId="3" applyFont="1" applyBorder="1" applyAlignment="1">
      <alignment horizontal="left" vertical="center" wrapText="1" indent="1"/>
    </xf>
    <xf numFmtId="0" fontId="36" fillId="0" borderId="0" xfId="6" applyAlignment="1">
      <alignment vertical="top" wrapText="1"/>
    </xf>
    <xf numFmtId="0" fontId="106" fillId="0" borderId="0" xfId="3" applyFont="1">
      <alignment vertical="center"/>
    </xf>
    <xf numFmtId="0" fontId="107" fillId="0" borderId="0" xfId="10" applyFont="1" applyFill="1" applyBorder="1" applyAlignment="1">
      <alignment vertical="center" wrapText="1"/>
    </xf>
    <xf numFmtId="0" fontId="89" fillId="0" borderId="0" xfId="12" applyFont="1" applyFill="1" applyBorder="1" applyAlignment="1">
      <alignment horizontal="center" vertical="center" wrapText="1"/>
    </xf>
    <xf numFmtId="0" fontId="103" fillId="0" borderId="0" xfId="3" quotePrefix="1" applyFont="1" applyAlignment="1">
      <alignment horizontal="center" vertical="center"/>
    </xf>
    <xf numFmtId="164" fontId="30" fillId="0" borderId="1" xfId="1" applyNumberFormat="1" applyFont="1" applyFill="1" applyBorder="1" applyAlignment="1" applyProtection="1">
      <alignment horizontal="center" vertical="center"/>
      <protection locked="0"/>
    </xf>
    <xf numFmtId="0" fontId="103" fillId="0" borderId="14" xfId="3" quotePrefix="1" applyFont="1" applyBorder="1" applyAlignment="1">
      <alignment horizontal="center" vertical="center"/>
    </xf>
    <xf numFmtId="0" fontId="36" fillId="0" borderId="0" xfId="6" applyAlignment="1">
      <alignment vertical="center" wrapText="1"/>
    </xf>
    <xf numFmtId="0" fontId="108" fillId="0" borderId="0" xfId="6" applyFont="1" applyAlignment="1">
      <alignment vertical="top"/>
    </xf>
    <xf numFmtId="0" fontId="94" fillId="0" borderId="0" xfId="0" applyFont="1" applyAlignment="1">
      <alignment vertical="top"/>
    </xf>
    <xf numFmtId="0" fontId="109" fillId="0" borderId="0" xfId="0" applyFont="1" applyAlignment="1">
      <alignment horizontal="left" vertical="center" indent="5"/>
    </xf>
    <xf numFmtId="0" fontId="19" fillId="0" borderId="1" xfId="0" applyFont="1" applyBorder="1" applyAlignment="1">
      <alignment horizontal="left" vertical="center" wrapText="1"/>
    </xf>
    <xf numFmtId="0" fontId="111" fillId="0" borderId="0" xfId="13" applyFont="1"/>
    <xf numFmtId="164" fontId="46" fillId="0" borderId="19" xfId="1" applyNumberFormat="1" applyFont="1" applyBorder="1" applyAlignment="1">
      <alignment vertical="center" wrapText="1"/>
    </xf>
    <xf numFmtId="164" fontId="46" fillId="0" borderId="27" xfId="1" applyNumberFormat="1" applyFont="1" applyBorder="1" applyAlignment="1">
      <alignment vertical="center" wrapText="1"/>
    </xf>
    <xf numFmtId="166" fontId="46" fillId="0" borderId="27" xfId="1" applyNumberFormat="1" applyFont="1" applyBorder="1" applyAlignment="1">
      <alignment horizontal="center" vertical="center" wrapText="1"/>
    </xf>
    <xf numFmtId="166" fontId="1" fillId="6" borderId="27" xfId="1" applyNumberFormat="1" applyFont="1" applyFill="1" applyBorder="1" applyAlignment="1">
      <alignment vertical="center" wrapText="1"/>
    </xf>
    <xf numFmtId="166" fontId="1" fillId="0" borderId="27" xfId="1" applyNumberFormat="1" applyFont="1" applyBorder="1" applyAlignment="1">
      <alignment vertical="center"/>
    </xf>
    <xf numFmtId="166" fontId="31" fillId="6" borderId="27" xfId="1" applyNumberFormat="1" applyFont="1" applyFill="1" applyBorder="1" applyAlignment="1">
      <alignment vertical="center" wrapText="1"/>
    </xf>
    <xf numFmtId="166" fontId="1" fillId="0" borderId="27" xfId="1" applyNumberFormat="1" applyFont="1" applyBorder="1" applyAlignment="1">
      <alignment horizontal="center" vertical="center"/>
    </xf>
    <xf numFmtId="166" fontId="1" fillId="0" borderId="27" xfId="1" applyNumberFormat="1" applyFont="1" applyBorder="1" applyAlignment="1">
      <alignment vertical="center" wrapText="1"/>
    </xf>
    <xf numFmtId="166" fontId="41" fillId="18" borderId="27" xfId="1" applyNumberFormat="1" applyFont="1" applyFill="1" applyBorder="1" applyAlignment="1">
      <alignment vertical="center" wrapText="1"/>
    </xf>
    <xf numFmtId="164" fontId="1" fillId="0" borderId="27" xfId="1" applyNumberFormat="1" applyFont="1" applyBorder="1" applyAlignment="1">
      <alignment vertical="center"/>
    </xf>
    <xf numFmtId="164" fontId="48" fillId="0" borderId="19" xfId="1" applyNumberFormat="1" applyFont="1" applyBorder="1" applyAlignment="1">
      <alignment horizontal="center" vertical="center" wrapText="1"/>
    </xf>
    <xf numFmtId="164" fontId="48" fillId="0" borderId="27" xfId="1" applyNumberFormat="1" applyFont="1" applyBorder="1" applyAlignment="1">
      <alignment horizontal="center" vertical="center" wrapText="1"/>
    </xf>
    <xf numFmtId="164" fontId="48" fillId="17" borderId="19" xfId="1" applyNumberFormat="1" applyFont="1" applyFill="1" applyBorder="1" applyAlignment="1">
      <alignment horizontal="center" vertical="center" wrapText="1"/>
    </xf>
    <xf numFmtId="164" fontId="46" fillId="17" borderId="27" xfId="1" applyNumberFormat="1" applyFont="1" applyFill="1" applyBorder="1" applyAlignment="1">
      <alignment vertical="center" wrapText="1"/>
    </xf>
    <xf numFmtId="164" fontId="48" fillId="17" borderId="27" xfId="1" applyNumberFormat="1" applyFont="1" applyFill="1" applyBorder="1" applyAlignment="1">
      <alignment horizontal="center" vertical="center" wrapText="1"/>
    </xf>
    <xf numFmtId="164" fontId="46" fillId="10" borderId="27" xfId="1" applyNumberFormat="1" applyFont="1" applyFill="1" applyBorder="1" applyAlignment="1">
      <alignment vertical="center" wrapText="1"/>
    </xf>
    <xf numFmtId="164" fontId="56" fillId="10" borderId="27" xfId="1" applyNumberFormat="1" applyFont="1" applyFill="1" applyBorder="1" applyAlignment="1">
      <alignment vertical="center"/>
    </xf>
    <xf numFmtId="164" fontId="16" fillId="0" borderId="27" xfId="1" applyNumberFormat="1" applyFont="1" applyBorder="1" applyAlignment="1">
      <alignment vertical="center" wrapText="1"/>
    </xf>
    <xf numFmtId="164" fontId="16" fillId="18" borderId="19" xfId="1" applyNumberFormat="1" applyFont="1" applyFill="1" applyBorder="1" applyAlignment="1">
      <alignment vertical="center" wrapText="1"/>
    </xf>
    <xf numFmtId="164" fontId="16" fillId="18" borderId="27" xfId="1" applyNumberFormat="1" applyFont="1" applyFill="1" applyBorder="1" applyAlignment="1">
      <alignment vertical="center" wrapText="1"/>
    </xf>
    <xf numFmtId="0" fontId="43" fillId="0" borderId="0" xfId="0" applyFont="1" applyAlignment="1">
      <alignment vertical="center" wrapText="1"/>
    </xf>
    <xf numFmtId="0" fontId="5" fillId="21" borderId="0" xfId="0" applyFont="1" applyFill="1"/>
    <xf numFmtId="0" fontId="101" fillId="21" borderId="0" xfId="8" applyFont="1" applyFill="1" applyAlignment="1">
      <alignment horizontal="left" vertical="center"/>
    </xf>
    <xf numFmtId="0" fontId="114" fillId="21" borderId="0" xfId="0" applyFont="1" applyFill="1"/>
    <xf numFmtId="0" fontId="114" fillId="21" borderId="0" xfId="0" applyFont="1" applyFill="1" applyAlignment="1">
      <alignment vertical="center"/>
    </xf>
    <xf numFmtId="0" fontId="114" fillId="21" borderId="10" xfId="0" applyFont="1" applyFill="1" applyBorder="1" applyAlignment="1">
      <alignment horizontal="center" vertical="center" wrapText="1"/>
    </xf>
    <xf numFmtId="0" fontId="13" fillId="6" borderId="9" xfId="0" applyFont="1" applyFill="1" applyBorder="1" applyAlignment="1">
      <alignment vertical="center" wrapText="1"/>
    </xf>
    <xf numFmtId="0" fontId="114" fillId="21" borderId="54" xfId="0" applyFont="1" applyFill="1" applyBorder="1" applyAlignment="1">
      <alignment horizontal="center" vertical="center" wrapText="1"/>
    </xf>
    <xf numFmtId="0" fontId="0" fillId="6" borderId="2" xfId="0" applyFill="1" applyBorder="1" applyAlignment="1">
      <alignment vertical="center" wrapText="1"/>
    </xf>
    <xf numFmtId="0" fontId="79" fillId="7" borderId="1" xfId="0" applyFont="1" applyFill="1" applyBorder="1" applyAlignment="1">
      <alignment vertical="center" wrapText="1"/>
    </xf>
    <xf numFmtId="0" fontId="42" fillId="7" borderId="1" xfId="0" applyFont="1" applyFill="1" applyBorder="1" applyAlignment="1">
      <alignment vertical="center" wrapText="1"/>
    </xf>
    <xf numFmtId="0" fontId="80" fillId="7" borderId="1" xfId="0" applyFont="1" applyFill="1" applyBorder="1" applyAlignment="1">
      <alignment vertical="center" wrapText="1"/>
    </xf>
    <xf numFmtId="0" fontId="81" fillId="7" borderId="1" xfId="0" applyFont="1" applyFill="1" applyBorder="1" applyAlignment="1">
      <alignment vertical="center" wrapText="1"/>
    </xf>
    <xf numFmtId="0" fontId="114" fillId="21" borderId="0" xfId="0" applyFont="1" applyFill="1" applyAlignment="1">
      <alignment horizontal="center" vertical="center" wrapText="1"/>
    </xf>
    <xf numFmtId="0" fontId="0" fillId="0" borderId="1" xfId="0" applyBorder="1" applyAlignment="1">
      <alignment horizontal="center" vertical="center"/>
    </xf>
    <xf numFmtId="0" fontId="111" fillId="0" borderId="0" xfId="13" applyFont="1" applyAlignment="1">
      <alignment horizontal="left" wrapText="1"/>
    </xf>
    <xf numFmtId="0" fontId="3"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7" applyFont="1" applyBorder="1" applyAlignment="1">
      <alignment horizontal="center" vertical="center" wrapText="1"/>
    </xf>
    <xf numFmtId="0" fontId="5" fillId="0" borderId="1" xfId="0" applyFont="1" applyBorder="1" applyAlignment="1">
      <alignment horizontal="left" vertical="center" wrapText="1"/>
    </xf>
    <xf numFmtId="164" fontId="0" fillId="0" borderId="9" xfId="1" applyNumberFormat="1" applyFont="1" applyBorder="1" applyAlignment="1">
      <alignment vertical="center" wrapText="1"/>
    </xf>
    <xf numFmtId="0" fontId="115" fillId="22" borderId="59" xfId="0" applyFont="1" applyFill="1" applyBorder="1" applyAlignment="1">
      <alignment horizontal="center" vertical="center" wrapText="1"/>
    </xf>
    <xf numFmtId="164" fontId="0" fillId="0" borderId="9" xfId="1" applyNumberFormat="1" applyFont="1" applyBorder="1" applyAlignment="1">
      <alignment horizontal="center" vertical="center" wrapText="1"/>
    </xf>
    <xf numFmtId="0" fontId="114" fillId="21" borderId="0" xfId="0" applyFont="1" applyFill="1" applyAlignment="1">
      <alignment horizontal="center" vertical="center"/>
    </xf>
    <xf numFmtId="0" fontId="19" fillId="0" borderId="9" xfId="0" applyFont="1" applyBorder="1" applyAlignment="1">
      <alignment horizontal="left" vertical="center"/>
    </xf>
    <xf numFmtId="0" fontId="19" fillId="0" borderId="9" xfId="0" applyFont="1" applyBorder="1" applyAlignment="1">
      <alignment horizontal="center" vertical="center"/>
    </xf>
    <xf numFmtId="0" fontId="19" fillId="0" borderId="9" xfId="0" applyFont="1" applyBorder="1" applyAlignment="1">
      <alignment vertical="center"/>
    </xf>
    <xf numFmtId="0" fontId="114" fillId="21" borderId="59" xfId="0" applyFont="1" applyFill="1" applyBorder="1" applyAlignment="1">
      <alignment horizontal="center" vertical="center" wrapText="1"/>
    </xf>
    <xf numFmtId="0" fontId="114" fillId="21" borderId="59" xfId="0" applyFont="1" applyFill="1" applyBorder="1" applyAlignment="1">
      <alignment horizontal="center" vertical="center"/>
    </xf>
    <xf numFmtId="0" fontId="114" fillId="21" borderId="59" xfId="0" applyFont="1" applyFill="1" applyBorder="1" applyAlignment="1">
      <alignment vertical="center" wrapText="1"/>
    </xf>
    <xf numFmtId="0" fontId="114" fillId="21" borderId="59" xfId="0" applyFont="1" applyFill="1" applyBorder="1" applyAlignment="1">
      <alignment vertical="top" wrapText="1"/>
    </xf>
    <xf numFmtId="164" fontId="113" fillId="21" borderId="59" xfId="1" applyNumberFormat="1" applyFont="1" applyFill="1" applyBorder="1" applyAlignment="1">
      <alignment horizontal="center" vertical="center" wrapText="1"/>
    </xf>
    <xf numFmtId="0" fontId="113" fillId="21" borderId="59" xfId="0" applyFont="1" applyFill="1" applyBorder="1" applyAlignment="1">
      <alignment horizontal="center" vertical="center" wrapText="1"/>
    </xf>
    <xf numFmtId="164" fontId="5" fillId="0" borderId="1" xfId="1" applyNumberFormat="1" applyFont="1" applyFill="1" applyBorder="1" applyAlignment="1">
      <alignment vertical="center"/>
    </xf>
    <xf numFmtId="0" fontId="6" fillId="0" borderId="1" xfId="0" applyFont="1" applyBorder="1" applyAlignment="1">
      <alignment horizontal="justify" vertical="center"/>
    </xf>
    <xf numFmtId="164" fontId="6" fillId="0" borderId="1" xfId="1" applyNumberFormat="1" applyFont="1" applyFill="1" applyBorder="1" applyAlignment="1">
      <alignment vertical="center"/>
    </xf>
    <xf numFmtId="0" fontId="6" fillId="0" borderId="1" xfId="0" applyFont="1" applyBorder="1" applyAlignment="1">
      <alignment horizontal="justify" vertical="center" wrapText="1"/>
    </xf>
    <xf numFmtId="164" fontId="5" fillId="0" borderId="1" xfId="1" applyNumberFormat="1" applyFont="1" applyFill="1" applyBorder="1" applyAlignment="1">
      <alignment horizontal="justify" vertical="center"/>
    </xf>
    <xf numFmtId="0" fontId="0" fillId="0" borderId="1" xfId="0" applyFont="1" applyBorder="1" applyAlignment="1">
      <alignment vertical="center"/>
    </xf>
    <xf numFmtId="0" fontId="0" fillId="0" borderId="1" xfId="0" applyNumberFormat="1" applyFont="1" applyBorder="1" applyAlignment="1">
      <alignment vertical="center"/>
    </xf>
    <xf numFmtId="0" fontId="114" fillId="21" borderId="66" xfId="0" applyFont="1" applyFill="1" applyBorder="1" applyAlignment="1">
      <alignment horizontal="center" vertical="center" wrapText="1"/>
    </xf>
    <xf numFmtId="0" fontId="113" fillId="21" borderId="0" xfId="0" applyFont="1" applyFill="1" applyAlignment="1">
      <alignment vertical="center" wrapText="1"/>
    </xf>
    <xf numFmtId="0" fontId="113" fillId="21" borderId="66" xfId="0" applyFont="1" applyFill="1" applyBorder="1" applyAlignment="1">
      <alignment horizontal="center" vertical="center" wrapText="1"/>
    </xf>
    <xf numFmtId="0" fontId="10" fillId="0" borderId="9" xfId="0" applyFont="1" applyBorder="1" applyAlignment="1">
      <alignment vertical="center" wrapText="1"/>
    </xf>
    <xf numFmtId="164" fontId="5" fillId="0" borderId="9" xfId="1" quotePrefix="1" applyNumberFormat="1" applyFont="1" applyFill="1" applyBorder="1"/>
    <xf numFmtId="164" fontId="113" fillId="21" borderId="59" xfId="1" quotePrefix="1" applyNumberFormat="1" applyFont="1" applyFill="1" applyBorder="1" applyAlignment="1">
      <alignment horizontal="center" vertical="center"/>
    </xf>
    <xf numFmtId="164" fontId="113" fillId="21" borderId="59" xfId="1" applyNumberFormat="1" applyFont="1" applyFill="1" applyBorder="1" applyAlignment="1">
      <alignment horizontal="center" vertical="center"/>
    </xf>
    <xf numFmtId="0" fontId="114" fillId="21" borderId="59" xfId="0" applyFont="1" applyFill="1" applyBorder="1" applyAlignment="1">
      <alignment horizontal="center"/>
    </xf>
    <xf numFmtId="164" fontId="114" fillId="21" borderId="59" xfId="1" quotePrefix="1" applyNumberFormat="1" applyFont="1" applyFill="1" applyBorder="1" applyAlignment="1">
      <alignment horizontal="center" vertical="center"/>
    </xf>
    <xf numFmtId="165" fontId="114" fillId="21" borderId="59" xfId="1" applyNumberFormat="1" applyFont="1" applyFill="1" applyBorder="1" applyAlignment="1">
      <alignment horizontal="center" vertical="center"/>
    </xf>
    <xf numFmtId="164" fontId="13" fillId="0" borderId="1" xfId="1" applyNumberFormat="1" applyFont="1" applyBorder="1" applyAlignment="1">
      <alignment vertical="center"/>
    </xf>
    <xf numFmtId="164" fontId="0" fillId="0" borderId="5" xfId="1" applyNumberFormat="1" applyFont="1" applyBorder="1" applyAlignment="1">
      <alignment vertical="center"/>
    </xf>
    <xf numFmtId="164" fontId="13" fillId="5" borderId="1" xfId="1" applyNumberFormat="1" applyFont="1" applyFill="1" applyBorder="1" applyAlignment="1">
      <alignment vertical="center"/>
    </xf>
    <xf numFmtId="164" fontId="0" fillId="0" borderId="9" xfId="1" applyNumberFormat="1" applyFont="1" applyBorder="1" applyAlignment="1">
      <alignment vertical="center"/>
    </xf>
    <xf numFmtId="164" fontId="0" fillId="0" borderId="9" xfId="1" applyNumberFormat="1" applyFont="1" applyBorder="1" applyAlignment="1">
      <alignment horizontal="center" vertical="center"/>
    </xf>
    <xf numFmtId="164" fontId="0" fillId="0" borderId="1" xfId="1" applyNumberFormat="1" applyFont="1" applyBorder="1" applyAlignment="1">
      <alignment vertical="center"/>
    </xf>
    <xf numFmtId="164" fontId="0" fillId="0" borderId="1" xfId="1" applyNumberFormat="1" applyFont="1" applyBorder="1" applyAlignment="1">
      <alignment horizontal="center" vertical="center"/>
    </xf>
    <xf numFmtId="164" fontId="0" fillId="4" borderId="1" xfId="1" applyNumberFormat="1" applyFont="1" applyFill="1" applyBorder="1" applyAlignment="1">
      <alignment vertical="center"/>
    </xf>
    <xf numFmtId="164" fontId="5" fillId="0" borderId="1" xfId="1" applyNumberFormat="1" applyFont="1" applyFill="1" applyBorder="1" applyAlignment="1">
      <alignment vertical="center" wrapText="1"/>
    </xf>
    <xf numFmtId="164" fontId="6" fillId="0" borderId="1" xfId="1" applyNumberFormat="1" applyFont="1" applyFill="1" applyBorder="1" applyAlignment="1">
      <alignment vertical="center" wrapText="1"/>
    </xf>
    <xf numFmtId="10" fontId="5" fillId="0" borderId="1" xfId="2" applyNumberFormat="1" applyFont="1" applyFill="1" applyBorder="1" applyAlignment="1">
      <alignment vertical="center" wrapText="1"/>
    </xf>
    <xf numFmtId="164" fontId="5" fillId="0" borderId="9" xfId="1" applyNumberFormat="1" applyFont="1" applyFill="1" applyBorder="1" applyAlignment="1">
      <alignment horizontal="center" vertical="center" wrapText="1"/>
    </xf>
    <xf numFmtId="164" fontId="10" fillId="0" borderId="1" xfId="1" applyNumberFormat="1" applyFont="1" applyBorder="1" applyAlignment="1">
      <alignment horizontal="center" vertical="center"/>
    </xf>
    <xf numFmtId="164" fontId="10" fillId="0" borderId="1" xfId="1" applyNumberFormat="1" applyFont="1" applyFill="1" applyBorder="1" applyAlignment="1">
      <alignment horizontal="center" vertical="center"/>
    </xf>
    <xf numFmtId="164" fontId="5" fillId="0" borderId="1" xfId="1" quotePrefix="1" applyNumberFormat="1" applyFont="1" applyFill="1" applyBorder="1" applyAlignment="1"/>
    <xf numFmtId="164" fontId="5" fillId="0" borderId="1" xfId="1" applyNumberFormat="1" applyFont="1" applyFill="1" applyBorder="1" applyAlignment="1">
      <alignment wrapText="1"/>
    </xf>
    <xf numFmtId="164" fontId="5" fillId="0" borderId="6" xfId="1" quotePrefix="1" applyNumberFormat="1" applyFont="1" applyFill="1" applyBorder="1" applyAlignment="1">
      <alignment wrapText="1"/>
    </xf>
    <xf numFmtId="164" fontId="6" fillId="4" borderId="1" xfId="1" applyNumberFormat="1" applyFont="1" applyFill="1" applyBorder="1" applyAlignment="1">
      <alignment horizontal="justify" vertical="top" wrapText="1"/>
    </xf>
    <xf numFmtId="43" fontId="5" fillId="0" borderId="1" xfId="1" quotePrefix="1" applyFont="1" applyFill="1" applyBorder="1" applyAlignment="1"/>
    <xf numFmtId="0" fontId="11" fillId="5" borderId="9" xfId="0" applyFont="1" applyFill="1" applyBorder="1" applyAlignment="1">
      <alignment vertical="center" wrapText="1"/>
    </xf>
    <xf numFmtId="164" fontId="0" fillId="0" borderId="9" xfId="1" quotePrefix="1" applyNumberFormat="1" applyFont="1" applyFill="1" applyBorder="1" applyAlignment="1">
      <alignment wrapText="1"/>
    </xf>
    <xf numFmtId="0" fontId="0" fillId="21" borderId="0" xfId="0" applyFill="1"/>
    <xf numFmtId="6" fontId="114" fillId="21" borderId="59" xfId="0" applyNumberFormat="1" applyFont="1" applyFill="1" applyBorder="1" applyAlignment="1">
      <alignment horizontal="center" vertical="center"/>
    </xf>
    <xf numFmtId="164" fontId="114" fillId="21" borderId="59" xfId="1" applyNumberFormat="1" applyFont="1" applyFill="1" applyBorder="1" applyAlignment="1">
      <alignment vertical="center" wrapText="1"/>
    </xf>
    <xf numFmtId="0" fontId="3" fillId="13" borderId="23" xfId="0" applyFont="1" applyFill="1" applyBorder="1" applyAlignment="1">
      <alignment vertical="center"/>
    </xf>
    <xf numFmtId="0" fontId="3" fillId="13" borderId="0" xfId="0" applyFont="1" applyFill="1" applyBorder="1" applyAlignment="1">
      <alignment vertical="center"/>
    </xf>
    <xf numFmtId="0" fontId="3" fillId="13" borderId="0" xfId="0" applyFont="1" applyFill="1" applyBorder="1" applyAlignment="1">
      <alignment horizontal="center" vertical="center"/>
    </xf>
    <xf numFmtId="0" fontId="3" fillId="13" borderId="71" xfId="0" applyFont="1" applyFill="1" applyBorder="1" applyAlignment="1">
      <alignment vertical="center"/>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0" fillId="15" borderId="1" xfId="0" applyFill="1" applyBorder="1" applyAlignment="1">
      <alignment vertical="center" wrapText="1"/>
    </xf>
    <xf numFmtId="164" fontId="3" fillId="15" borderId="1" xfId="1" applyNumberFormat="1" applyFont="1" applyFill="1" applyBorder="1" applyAlignment="1">
      <alignment vertical="top" wrapText="1"/>
    </xf>
    <xf numFmtId="164" fontId="3" fillId="15" borderId="1" xfId="1" applyNumberFormat="1" applyFont="1" applyFill="1" applyBorder="1" applyAlignment="1">
      <alignment vertical="center" wrapText="1"/>
    </xf>
    <xf numFmtId="164" fontId="3" fillId="15" borderId="1" xfId="1" applyNumberFormat="1" applyFont="1" applyFill="1" applyBorder="1" applyAlignment="1">
      <alignment horizontal="center" vertical="center"/>
    </xf>
    <xf numFmtId="0" fontId="19" fillId="0" borderId="1" xfId="0" applyFont="1" applyBorder="1" applyAlignment="1">
      <alignment horizontal="left" vertical="center" wrapText="1" indent="2"/>
    </xf>
    <xf numFmtId="164" fontId="19" fillId="10" borderId="1" xfId="1" applyNumberFormat="1" applyFont="1" applyFill="1" applyBorder="1" applyAlignment="1">
      <alignment vertical="center" wrapText="1"/>
    </xf>
    <xf numFmtId="164" fontId="3" fillId="15" borderId="1" xfId="1" applyNumberFormat="1" applyFont="1" applyFill="1" applyBorder="1" applyAlignment="1">
      <alignment horizontal="center" vertical="center" wrapText="1"/>
    </xf>
    <xf numFmtId="164" fontId="0" fillId="7" borderId="1" xfId="1" applyNumberFormat="1" applyFont="1" applyFill="1" applyBorder="1" applyAlignment="1">
      <alignment vertical="center" wrapText="1"/>
    </xf>
    <xf numFmtId="164" fontId="0" fillId="10" borderId="1" xfId="1" applyNumberFormat="1" applyFont="1" applyFill="1" applyBorder="1" applyAlignment="1">
      <alignment vertical="center"/>
    </xf>
    <xf numFmtId="164" fontId="0" fillId="10" borderId="1" xfId="1" applyNumberFormat="1" applyFont="1" applyFill="1" applyBorder="1" applyAlignment="1">
      <alignment vertical="center" wrapText="1"/>
    </xf>
    <xf numFmtId="164" fontId="3" fillId="10" borderId="1" xfId="1" applyNumberFormat="1" applyFont="1" applyFill="1" applyBorder="1" applyAlignment="1">
      <alignment vertical="center" wrapText="1"/>
    </xf>
    <xf numFmtId="164" fontId="3" fillId="10" borderId="1" xfId="1" applyNumberFormat="1" applyFont="1" applyFill="1" applyBorder="1" applyAlignment="1">
      <alignment horizontal="center" vertical="center" wrapText="1"/>
    </xf>
    <xf numFmtId="164" fontId="0" fillId="10" borderId="1" xfId="1" applyNumberFormat="1" applyFont="1" applyFill="1" applyBorder="1" applyAlignment="1">
      <alignment horizontal="center" vertical="center" wrapText="1"/>
    </xf>
    <xf numFmtId="0" fontId="44" fillId="0" borderId="1" xfId="0" applyFont="1" applyBorder="1" applyAlignment="1">
      <alignment horizontal="left" vertical="center" wrapText="1" indent="2"/>
    </xf>
    <xf numFmtId="0" fontId="19" fillId="0" borderId="1" xfId="0" applyFont="1" applyBorder="1" applyAlignment="1">
      <alignment horizontal="left" vertical="center" wrapText="1" indent="4"/>
    </xf>
    <xf numFmtId="164" fontId="3" fillId="15" borderId="1" xfId="1" quotePrefix="1" applyNumberFormat="1" applyFont="1" applyFill="1" applyBorder="1" applyAlignment="1">
      <alignment vertical="center" wrapText="1"/>
    </xf>
    <xf numFmtId="164" fontId="3" fillId="15" borderId="1" xfId="1" quotePrefix="1" applyNumberFormat="1" applyFont="1" applyFill="1" applyBorder="1" applyAlignment="1">
      <alignment horizontal="center" vertical="center" wrapText="1"/>
    </xf>
    <xf numFmtId="164" fontId="0" fillId="16" borderId="1" xfId="1" applyNumberFormat="1" applyFont="1" applyFill="1" applyBorder="1" applyAlignment="1">
      <alignment vertical="center" wrapText="1"/>
    </xf>
    <xf numFmtId="164" fontId="5" fillId="7" borderId="1" xfId="1" applyNumberFormat="1" applyFont="1" applyFill="1" applyBorder="1" applyAlignment="1">
      <alignment vertical="center" wrapText="1"/>
    </xf>
    <xf numFmtId="164" fontId="3" fillId="7" borderId="1" xfId="1" applyNumberFormat="1" applyFont="1" applyFill="1" applyBorder="1" applyAlignment="1">
      <alignment vertical="center" wrapText="1"/>
    </xf>
    <xf numFmtId="164" fontId="3" fillId="7" borderId="1" xfId="1" applyNumberFormat="1" applyFont="1" applyFill="1" applyBorder="1" applyAlignment="1">
      <alignment horizontal="center" vertical="center" wrapText="1"/>
    </xf>
    <xf numFmtId="164" fontId="3" fillId="7" borderId="1" xfId="1" quotePrefix="1" applyNumberFormat="1" applyFont="1" applyFill="1" applyBorder="1" applyAlignment="1">
      <alignment horizontal="center" vertical="center" wrapText="1"/>
    </xf>
    <xf numFmtId="164" fontId="0" fillId="10" borderId="1" xfId="1" applyNumberFormat="1" applyFont="1" applyFill="1" applyBorder="1" applyAlignment="1">
      <alignment horizontal="center" vertical="center"/>
    </xf>
    <xf numFmtId="164" fontId="3" fillId="0" borderId="1" xfId="1" applyNumberFormat="1" applyFont="1" applyBorder="1" applyAlignment="1">
      <alignment horizontal="center" vertical="center"/>
    </xf>
    <xf numFmtId="43" fontId="0" fillId="0" borderId="1" xfId="1" applyFont="1" applyBorder="1" applyAlignment="1">
      <alignment vertical="center"/>
    </xf>
    <xf numFmtId="164" fontId="0" fillId="7" borderId="1" xfId="1" applyNumberFormat="1" applyFont="1" applyFill="1" applyBorder="1" applyAlignment="1">
      <alignment horizontal="center" vertical="center" wrapText="1"/>
    </xf>
    <xf numFmtId="0" fontId="43" fillId="21" borderId="0" xfId="0" applyFont="1" applyFill="1" applyAlignment="1">
      <alignment vertical="center" wrapText="1"/>
    </xf>
    <xf numFmtId="0" fontId="116" fillId="21" borderId="0" xfId="0" applyFont="1" applyFill="1" applyAlignment="1">
      <alignment vertical="center" wrapText="1"/>
    </xf>
    <xf numFmtId="0" fontId="116" fillId="21" borderId="0" xfId="0" applyFont="1" applyFill="1" applyBorder="1" applyAlignment="1">
      <alignment vertical="center" wrapText="1"/>
    </xf>
    <xf numFmtId="0" fontId="114" fillId="21" borderId="0" xfId="0" applyFont="1" applyFill="1" applyBorder="1" applyAlignment="1">
      <alignment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49" fontId="19" fillId="5" borderId="1" xfId="0" applyNumberFormat="1" applyFont="1" applyFill="1" applyBorder="1" applyAlignment="1">
      <alignment horizontal="center" vertical="center" wrapText="1"/>
    </xf>
    <xf numFmtId="0" fontId="19" fillId="5" borderId="1" xfId="0" applyFont="1" applyFill="1" applyBorder="1" applyAlignment="1">
      <alignment horizontal="left" vertical="center" wrapText="1" indent="1"/>
    </xf>
    <xf numFmtId="49" fontId="83" fillId="0" borderId="1" xfId="0" applyNumberFormat="1" applyFont="1" applyBorder="1" applyAlignment="1">
      <alignment horizontal="center" vertical="center" wrapText="1"/>
    </xf>
    <xf numFmtId="0" fontId="83" fillId="0" borderId="1" xfId="0" applyFont="1" applyBorder="1" applyAlignment="1">
      <alignment vertical="center" wrapText="1"/>
    </xf>
    <xf numFmtId="0" fontId="119" fillId="21" borderId="78" xfId="0" applyFont="1" applyFill="1" applyBorder="1" applyAlignment="1">
      <alignment horizontal="center" vertical="center" wrapText="1"/>
    </xf>
    <xf numFmtId="0" fontId="119" fillId="21" borderId="0" xfId="0" applyFont="1" applyFill="1" applyBorder="1" applyAlignment="1">
      <alignment vertical="center" wrapText="1"/>
    </xf>
    <xf numFmtId="0" fontId="119" fillId="21" borderId="81" xfId="0" applyFont="1" applyFill="1" applyBorder="1" applyAlignment="1">
      <alignment horizontal="center" vertical="center" wrapText="1"/>
    </xf>
    <xf numFmtId="0" fontId="119" fillId="21" borderId="79" xfId="0" applyFont="1" applyFill="1" applyBorder="1" applyAlignment="1">
      <alignment horizontal="center" vertical="center" wrapText="1"/>
    </xf>
    <xf numFmtId="164" fontId="1" fillId="0" borderId="1" xfId="1" applyNumberFormat="1" applyFont="1" applyBorder="1" applyAlignment="1">
      <alignment vertical="center" wrapText="1"/>
    </xf>
    <xf numFmtId="0" fontId="49" fillId="21" borderId="0" xfId="0" applyFont="1" applyFill="1" applyAlignment="1">
      <alignment vertical="center"/>
    </xf>
    <xf numFmtId="164" fontId="5" fillId="0" borderId="9" xfId="1" applyNumberFormat="1" applyFont="1" applyBorder="1" applyAlignment="1">
      <alignment wrapText="1"/>
    </xf>
    <xf numFmtId="164" fontId="5" fillId="0" borderId="1" xfId="1" applyNumberFormat="1" applyFont="1" applyBorder="1" applyAlignment="1">
      <alignment wrapText="1"/>
    </xf>
    <xf numFmtId="164" fontId="1" fillId="0" borderId="1" xfId="1" applyNumberFormat="1" applyFont="1" applyBorder="1" applyAlignment="1">
      <alignment wrapText="1"/>
    </xf>
    <xf numFmtId="164" fontId="1" fillId="5" borderId="1" xfId="1" applyNumberFormat="1" applyFont="1" applyFill="1" applyBorder="1" applyAlignment="1">
      <alignment horizontal="left" wrapText="1"/>
    </xf>
    <xf numFmtId="164" fontId="3" fillId="17" borderId="1" xfId="1" applyNumberFormat="1" applyFont="1" applyFill="1" applyBorder="1" applyAlignment="1">
      <alignment wrapText="1"/>
    </xf>
    <xf numFmtId="164" fontId="3" fillId="0" borderId="1" xfId="1" applyNumberFormat="1" applyFont="1" applyBorder="1" applyAlignment="1">
      <alignment wrapText="1"/>
    </xf>
    <xf numFmtId="0" fontId="117" fillId="21" borderId="59" xfId="0" applyFont="1" applyFill="1" applyBorder="1" applyAlignment="1">
      <alignment horizontal="center" vertical="center" wrapText="1"/>
    </xf>
    <xf numFmtId="0" fontId="117" fillId="21" borderId="76" xfId="0" applyFont="1" applyFill="1" applyBorder="1" applyAlignment="1">
      <alignment horizontal="center" vertical="center" wrapText="1"/>
    </xf>
    <xf numFmtId="0" fontId="119" fillId="21" borderId="59" xfId="0" applyFont="1" applyFill="1" applyBorder="1" applyAlignment="1">
      <alignment horizontal="center" vertical="center" wrapText="1"/>
    </xf>
    <xf numFmtId="0" fontId="114" fillId="21" borderId="76"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167" fontId="5" fillId="0" borderId="1" xfId="1"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0" fontId="117" fillId="21" borderId="83" xfId="0" applyFont="1" applyFill="1" applyBorder="1" applyAlignment="1">
      <alignment horizontal="center" vertical="center" wrapText="1"/>
    </xf>
    <xf numFmtId="0" fontId="117" fillId="21" borderId="0" xfId="0" applyFont="1" applyFill="1" applyBorder="1" applyAlignment="1">
      <alignment horizontal="center" vertical="center" wrapText="1"/>
    </xf>
    <xf numFmtId="0" fontId="117" fillId="21" borderId="85" xfId="0" applyFont="1" applyFill="1" applyBorder="1" applyAlignment="1">
      <alignment horizontal="center" vertical="center" wrapText="1"/>
    </xf>
    <xf numFmtId="0" fontId="117" fillId="21" borderId="86" xfId="0" applyFont="1" applyFill="1" applyBorder="1" applyAlignment="1">
      <alignment horizontal="center" vertical="center" wrapText="1"/>
    </xf>
    <xf numFmtId="49" fontId="0" fillId="0" borderId="36" xfId="0" applyNumberFormat="1" applyFont="1" applyBorder="1" applyAlignment="1">
      <alignment horizontal="center" vertical="center"/>
    </xf>
    <xf numFmtId="0" fontId="0" fillId="0" borderId="87" xfId="0" applyFont="1" applyBorder="1" applyAlignment="1">
      <alignment vertical="center"/>
    </xf>
    <xf numFmtId="164" fontId="10" fillId="0" borderId="87" xfId="1" applyNumberFormat="1" applyFont="1" applyBorder="1" applyAlignment="1">
      <alignment vertical="center"/>
    </xf>
    <xf numFmtId="164" fontId="10" fillId="0" borderId="5" xfId="1" applyNumberFormat="1" applyFont="1" applyBorder="1" applyAlignment="1">
      <alignment vertical="center"/>
    </xf>
    <xf numFmtId="49" fontId="19" fillId="5" borderId="36" xfId="0" applyNumberFormat="1" applyFont="1" applyFill="1" applyBorder="1" applyAlignment="1">
      <alignment horizontal="center" vertical="center"/>
    </xf>
    <xf numFmtId="0" fontId="19" fillId="5" borderId="87" xfId="0" applyFont="1" applyFill="1" applyBorder="1" applyAlignment="1">
      <alignment horizontal="left" vertical="center"/>
    </xf>
    <xf numFmtId="49" fontId="83" fillId="0" borderId="36" xfId="0" applyNumberFormat="1" applyFont="1" applyBorder="1" applyAlignment="1">
      <alignment horizontal="center" vertical="center"/>
    </xf>
    <xf numFmtId="0" fontId="83" fillId="0" borderId="87" xfId="0" applyFont="1" applyBorder="1" applyAlignment="1">
      <alignment vertical="center"/>
    </xf>
    <xf numFmtId="49" fontId="0" fillId="0" borderId="1" xfId="0" applyNumberFormat="1" applyFont="1" applyBorder="1" applyAlignment="1">
      <alignment horizontal="center" wrapText="1"/>
    </xf>
    <xf numFmtId="0" fontId="0" fillId="0" borderId="1" xfId="0" applyFont="1" applyBorder="1" applyAlignment="1">
      <alignment wrapText="1"/>
    </xf>
    <xf numFmtId="164" fontId="10" fillId="0" borderId="1" xfId="1" applyNumberFormat="1" applyFont="1" applyBorder="1" applyAlignment="1">
      <alignment wrapText="1"/>
    </xf>
    <xf numFmtId="164" fontId="0" fillId="0" borderId="1" xfId="1" applyNumberFormat="1" applyFont="1" applyBorder="1" applyAlignment="1">
      <alignment wrapText="1"/>
    </xf>
    <xf numFmtId="49" fontId="19" fillId="5" borderId="1" xfId="0" applyNumberFormat="1" applyFont="1" applyFill="1" applyBorder="1" applyAlignment="1">
      <alignment horizontal="center" wrapText="1"/>
    </xf>
    <xf numFmtId="0" fontId="19" fillId="5" borderId="1" xfId="0" applyFont="1" applyFill="1" applyBorder="1" applyAlignment="1">
      <alignment horizontal="left" wrapText="1"/>
    </xf>
    <xf numFmtId="164" fontId="19" fillId="5" borderId="1" xfId="1" applyNumberFormat="1" applyFont="1" applyFill="1" applyBorder="1" applyAlignment="1">
      <alignment horizontal="left" wrapText="1"/>
    </xf>
    <xf numFmtId="164" fontId="10" fillId="17" borderId="1" xfId="1" applyNumberFormat="1" applyFont="1" applyFill="1" applyBorder="1" applyAlignment="1">
      <alignment wrapText="1"/>
    </xf>
    <xf numFmtId="164" fontId="19" fillId="0" borderId="1" xfId="1" applyNumberFormat="1" applyFont="1" applyBorder="1" applyAlignment="1">
      <alignment wrapText="1"/>
    </xf>
    <xf numFmtId="49" fontId="83" fillId="0" borderId="1" xfId="0" applyNumberFormat="1" applyFont="1" applyBorder="1" applyAlignment="1">
      <alignment horizontal="center" wrapText="1"/>
    </xf>
    <xf numFmtId="0" fontId="83" fillId="0" borderId="1" xfId="0" applyFont="1" applyBorder="1" applyAlignment="1">
      <alignment wrapText="1"/>
    </xf>
    <xf numFmtId="164" fontId="83" fillId="0" borderId="1" xfId="1" applyNumberFormat="1" applyFont="1" applyBorder="1" applyAlignment="1">
      <alignment wrapText="1"/>
    </xf>
    <xf numFmtId="0" fontId="117" fillId="21" borderId="91" xfId="0" applyFont="1" applyFill="1" applyBorder="1" applyAlignment="1">
      <alignment horizontal="center" vertical="center" wrapText="1"/>
    </xf>
    <xf numFmtId="0" fontId="43" fillId="21" borderId="63" xfId="0" applyFont="1" applyFill="1" applyBorder="1" applyAlignment="1">
      <alignment vertical="center" wrapText="1"/>
    </xf>
    <xf numFmtId="0" fontId="43" fillId="21" borderId="92" xfId="0" applyFont="1" applyFill="1" applyBorder="1" applyAlignment="1">
      <alignment vertical="center" wrapText="1"/>
    </xf>
    <xf numFmtId="0" fontId="119" fillId="21" borderId="65" xfId="0" applyFont="1" applyFill="1" applyBorder="1" applyAlignment="1">
      <alignment horizontal="center" vertical="center" wrapText="1"/>
    </xf>
    <xf numFmtId="0" fontId="72" fillId="21" borderId="0" xfId="0" applyFont="1" applyFill="1" applyAlignment="1">
      <alignment vertical="center" wrapText="1"/>
    </xf>
    <xf numFmtId="0" fontId="72" fillId="21" borderId="63" xfId="0" applyFont="1" applyFill="1" applyBorder="1" applyAlignment="1">
      <alignment vertical="center" wrapText="1"/>
    </xf>
    <xf numFmtId="0" fontId="119" fillId="21" borderId="0" xfId="0" applyFont="1" applyFill="1" applyBorder="1" applyAlignment="1">
      <alignment horizontal="center" vertical="center" wrapText="1"/>
    </xf>
    <xf numFmtId="0" fontId="119" fillId="21" borderId="72" xfId="0" applyFont="1" applyFill="1" applyBorder="1" applyAlignment="1">
      <alignment horizontal="center" vertical="center" wrapText="1"/>
    </xf>
    <xf numFmtId="0" fontId="119" fillId="21" borderId="63" xfId="0" applyFont="1" applyFill="1" applyBorder="1" applyAlignment="1">
      <alignment horizontal="center" vertical="center" wrapText="1"/>
    </xf>
    <xf numFmtId="0" fontId="119" fillId="21" borderId="70" xfId="0" applyFont="1" applyFill="1" applyBorder="1" applyAlignment="1">
      <alignment horizontal="center" vertical="center" wrapText="1"/>
    </xf>
    <xf numFmtId="49" fontId="0" fillId="0" borderId="35" xfId="0" applyNumberFormat="1" applyFont="1" applyBorder="1" applyAlignment="1">
      <alignment wrapText="1"/>
    </xf>
    <xf numFmtId="0" fontId="0" fillId="0" borderId="35" xfId="0" applyFont="1" applyBorder="1" applyAlignment="1">
      <alignment wrapText="1"/>
    </xf>
    <xf numFmtId="164" fontId="0" fillId="0" borderId="9" xfId="1" applyNumberFormat="1" applyFont="1" applyBorder="1" applyAlignment="1">
      <alignment wrapText="1"/>
    </xf>
    <xf numFmtId="49" fontId="0" fillId="5" borderId="1" xfId="0" applyNumberFormat="1" applyFont="1" applyFill="1" applyBorder="1" applyAlignment="1">
      <alignment wrapText="1"/>
    </xf>
    <xf numFmtId="49" fontId="0" fillId="0" borderId="1" xfId="0" applyNumberFormat="1" applyFont="1" applyBorder="1" applyAlignment="1">
      <alignment wrapText="1"/>
    </xf>
    <xf numFmtId="49" fontId="83" fillId="5" borderId="1" xfId="0" applyNumberFormat="1" applyFont="1" applyFill="1" applyBorder="1" applyAlignment="1">
      <alignment wrapText="1"/>
    </xf>
    <xf numFmtId="164" fontId="0" fillId="0" borderId="0" xfId="1" applyNumberFormat="1" applyFont="1" applyBorder="1" applyAlignment="1">
      <alignment wrapText="1"/>
    </xf>
    <xf numFmtId="0" fontId="43" fillId="21" borderId="0" xfId="0" applyFont="1" applyFill="1"/>
    <xf numFmtId="0" fontId="43" fillId="21" borderId="0" xfId="0" applyFont="1" applyFill="1" applyBorder="1"/>
    <xf numFmtId="0" fontId="61" fillId="0" borderId="0" xfId="0" applyFont="1" applyBorder="1" applyAlignment="1">
      <alignment vertical="center"/>
    </xf>
    <xf numFmtId="0" fontId="117" fillId="21" borderId="59" xfId="0" applyFont="1" applyFill="1" applyBorder="1" applyAlignment="1">
      <alignment horizontal="center" vertical="center"/>
    </xf>
    <xf numFmtId="0" fontId="46" fillId="21" borderId="0" xfId="0" applyFont="1" applyFill="1" applyBorder="1" applyAlignment="1">
      <alignment vertical="center" wrapText="1"/>
    </xf>
    <xf numFmtId="0" fontId="46" fillId="21" borderId="28" xfId="0" applyFont="1" applyFill="1" applyBorder="1" applyAlignment="1">
      <alignment vertical="center" wrapText="1"/>
    </xf>
    <xf numFmtId="0" fontId="117" fillId="21" borderId="82" xfId="0" applyFont="1" applyFill="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49" fontId="120" fillId="0" borderId="1" xfId="0" applyNumberFormat="1" applyFont="1" applyBorder="1" applyAlignment="1">
      <alignment horizontal="center" vertical="center" wrapText="1"/>
    </xf>
    <xf numFmtId="0" fontId="67" fillId="21" borderId="0" xfId="0" applyFont="1" applyFill="1" applyAlignment="1">
      <alignment vertical="center" wrapText="1"/>
    </xf>
    <xf numFmtId="0" fontId="121" fillId="21" borderId="76" xfId="0" applyFont="1" applyFill="1" applyBorder="1" applyAlignment="1">
      <alignment horizontal="center" vertical="center" wrapText="1"/>
    </xf>
    <xf numFmtId="0" fontId="121" fillId="21" borderId="14" xfId="0" applyFont="1" applyFill="1" applyBorder="1" applyAlignment="1">
      <alignment horizontal="center" vertical="center" wrapText="1"/>
    </xf>
    <xf numFmtId="0" fontId="121" fillId="21" borderId="84" xfId="0" applyFont="1" applyFill="1" applyBorder="1" applyAlignment="1">
      <alignment horizontal="center" vertical="center" wrapText="1"/>
    </xf>
    <xf numFmtId="0" fontId="121" fillId="21" borderId="0" xfId="0" applyFont="1" applyFill="1" applyBorder="1" applyAlignment="1">
      <alignment horizontal="center" vertical="center" wrapText="1"/>
    </xf>
    <xf numFmtId="0" fontId="118" fillId="21" borderId="59" xfId="0" applyFont="1" applyFill="1" applyBorder="1" applyAlignment="1">
      <alignment horizontal="center" vertical="center" wrapText="1"/>
    </xf>
    <xf numFmtId="0" fontId="121" fillId="21" borderId="14" xfId="0" applyFont="1" applyFill="1" applyBorder="1" applyAlignment="1">
      <alignment vertical="center" wrapText="1"/>
    </xf>
    <xf numFmtId="0" fontId="121" fillId="21" borderId="13" xfId="0" applyFont="1" applyFill="1" applyBorder="1" applyAlignment="1">
      <alignment vertical="center" wrapText="1"/>
    </xf>
    <xf numFmtId="0" fontId="121" fillId="21" borderId="94" xfId="0" applyFont="1" applyFill="1" applyBorder="1" applyAlignment="1">
      <alignment horizontal="center" vertical="center" wrapText="1"/>
    </xf>
    <xf numFmtId="0" fontId="121" fillId="21" borderId="96" xfId="0" applyFont="1" applyFill="1" applyBorder="1" applyAlignment="1">
      <alignment horizontal="center" vertical="center" wrapText="1"/>
    </xf>
    <xf numFmtId="0" fontId="121" fillId="21" borderId="65" xfId="0" applyFont="1" applyFill="1" applyBorder="1" applyAlignment="1">
      <alignment horizontal="center" vertical="center" wrapText="1"/>
    </xf>
    <xf numFmtId="0" fontId="121" fillId="21" borderId="95" xfId="0" applyFont="1" applyFill="1" applyBorder="1" applyAlignment="1">
      <alignment horizontal="center" vertical="center" wrapText="1"/>
    </xf>
    <xf numFmtId="0" fontId="121" fillId="21" borderId="59" xfId="0" applyFont="1" applyFill="1" applyBorder="1" applyAlignment="1">
      <alignment horizontal="center" vertical="center" wrapText="1"/>
    </xf>
    <xf numFmtId="0" fontId="118" fillId="21" borderId="60" xfId="0" applyFont="1" applyFill="1" applyBorder="1" applyAlignment="1">
      <alignment horizontal="center" vertical="center" wrapText="1"/>
    </xf>
    <xf numFmtId="0" fontId="118" fillId="21" borderId="97" xfId="0" applyFont="1" applyFill="1" applyBorder="1" applyAlignment="1">
      <alignment horizontal="center" vertical="center" wrapText="1"/>
    </xf>
    <xf numFmtId="164" fontId="10" fillId="0" borderId="9" xfId="1" applyNumberFormat="1" applyFont="1" applyBorder="1" applyAlignment="1">
      <alignment horizontal="center" vertical="center" wrapText="1"/>
    </xf>
    <xf numFmtId="164" fontId="10" fillId="0" borderId="10" xfId="1" applyNumberFormat="1" applyFont="1" applyBorder="1" applyAlignment="1">
      <alignment horizontal="center" vertical="center" wrapText="1"/>
    </xf>
    <xf numFmtId="164" fontId="10" fillId="19" borderId="1" xfId="1" applyNumberFormat="1" applyFont="1" applyFill="1" applyBorder="1" applyAlignment="1">
      <alignment horizontal="center" vertical="center" wrapText="1"/>
    </xf>
    <xf numFmtId="0" fontId="44" fillId="0" borderId="1" xfId="0" applyFont="1" applyBorder="1" applyAlignment="1">
      <alignment vertical="center" wrapText="1"/>
    </xf>
    <xf numFmtId="164" fontId="10" fillId="0" borderId="7" xfId="1" applyNumberFormat="1" applyFont="1" applyBorder="1" applyAlignment="1">
      <alignment horizontal="center" vertical="center" wrapText="1"/>
    </xf>
    <xf numFmtId="164" fontId="10" fillId="0" borderId="8" xfId="1" applyNumberFormat="1" applyFont="1" applyBorder="1" applyAlignment="1">
      <alignment horizontal="center" vertical="center" wrapText="1"/>
    </xf>
    <xf numFmtId="0" fontId="0" fillId="0" borderId="9" xfId="0" applyBorder="1" applyAlignment="1">
      <alignment vertical="center" wrapText="1"/>
    </xf>
    <xf numFmtId="164" fontId="0" fillId="0" borderId="2" xfId="1" applyNumberFormat="1" applyFont="1" applyFill="1" applyBorder="1" applyAlignment="1">
      <alignment wrapText="1"/>
    </xf>
    <xf numFmtId="164" fontId="0" fillId="0" borderId="9" xfId="1" applyNumberFormat="1" applyFont="1" applyFill="1" applyBorder="1" applyAlignment="1">
      <alignment wrapText="1"/>
    </xf>
    <xf numFmtId="0" fontId="113" fillId="21" borderId="0" xfId="0" applyFont="1" applyFill="1" applyAlignment="1">
      <alignment vertical="center"/>
    </xf>
    <xf numFmtId="9" fontId="113" fillId="21" borderId="59"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9" xfId="0" applyFont="1" applyBorder="1" applyAlignment="1">
      <alignment vertical="center" wrapText="1"/>
    </xf>
    <xf numFmtId="164" fontId="0" fillId="6" borderId="1" xfId="1" applyNumberFormat="1" applyFont="1" applyFill="1" applyBorder="1" applyAlignment="1">
      <alignment vertical="center" wrapText="1"/>
    </xf>
    <xf numFmtId="164" fontId="41" fillId="6" borderId="1" xfId="1" applyNumberFormat="1" applyFont="1" applyFill="1" applyBorder="1" applyAlignment="1">
      <alignment vertical="center" wrapText="1"/>
    </xf>
    <xf numFmtId="164" fontId="5" fillId="0" borderId="1" xfId="1" applyNumberFormat="1" applyFont="1" applyBorder="1" applyAlignment="1">
      <alignment horizontal="center" vertical="center" wrapText="1"/>
    </xf>
    <xf numFmtId="164" fontId="0" fillId="0" borderId="1" xfId="1" applyNumberFormat="1" applyFont="1" applyFill="1" applyBorder="1" applyAlignment="1">
      <alignment vertical="center" wrapText="1"/>
    </xf>
    <xf numFmtId="164" fontId="5" fillId="5" borderId="9" xfId="1" applyNumberFormat="1" applyFont="1" applyFill="1" applyBorder="1" applyAlignment="1">
      <alignment horizontal="center" vertical="center" wrapText="1"/>
    </xf>
    <xf numFmtId="0" fontId="114" fillId="21" borderId="1" xfId="0" applyFont="1" applyFill="1" applyBorder="1" applyAlignment="1">
      <alignment horizontal="center" vertical="center"/>
    </xf>
    <xf numFmtId="0" fontId="13" fillId="21" borderId="0" xfId="0" applyFont="1" applyFill="1" applyAlignment="1">
      <alignment vertical="center" wrapText="1"/>
    </xf>
    <xf numFmtId="0" fontId="86" fillId="21" borderId="0" xfId="0" applyFont="1" applyFill="1"/>
    <xf numFmtId="0" fontId="13" fillId="21" borderId="59" xfId="0" applyFont="1" applyFill="1" applyBorder="1" applyAlignment="1">
      <alignment horizontal="center" vertical="center" wrapText="1"/>
    </xf>
    <xf numFmtId="0" fontId="123" fillId="21" borderId="59" xfId="0" applyFont="1" applyFill="1" applyBorder="1" applyAlignment="1">
      <alignment horizontal="center" vertical="center" wrapText="1"/>
    </xf>
    <xf numFmtId="0" fontId="123" fillId="21" borderId="0" xfId="0" applyFont="1" applyFill="1" applyAlignment="1">
      <alignment vertical="center"/>
    </xf>
    <xf numFmtId="164" fontId="0" fillId="0" borderId="9" xfId="1" applyNumberFormat="1" applyFont="1" applyFill="1" applyBorder="1" applyAlignment="1">
      <alignment vertical="center" wrapText="1"/>
    </xf>
    <xf numFmtId="0" fontId="5" fillId="0" borderId="1" xfId="0" applyFont="1" applyBorder="1" applyAlignment="1">
      <alignment horizontal="right" vertical="center" wrapText="1"/>
    </xf>
    <xf numFmtId="0" fontId="124" fillId="0" borderId="1" xfId="0" applyFont="1" applyBorder="1" applyAlignment="1">
      <alignment vertical="center" wrapText="1"/>
    </xf>
    <xf numFmtId="0" fontId="1" fillId="0" borderId="0" xfId="0" applyFont="1" applyAlignment="1">
      <alignment horizontal="center" vertical="center"/>
    </xf>
    <xf numFmtId="0" fontId="1" fillId="0" borderId="0" xfId="0" applyFont="1"/>
    <xf numFmtId="0" fontId="125" fillId="0" borderId="0" xfId="0" applyFont="1"/>
    <xf numFmtId="0" fontId="72" fillId="0" borderId="0" xfId="0" applyFont="1" applyAlignment="1">
      <alignment horizontal="center" vertical="center" wrapText="1"/>
    </xf>
    <xf numFmtId="0" fontId="72" fillId="0" borderId="0" xfId="0" applyFont="1" applyAlignment="1">
      <alignment vertical="center" wrapText="1"/>
    </xf>
    <xf numFmtId="0" fontId="31" fillId="0" borderId="0" xfId="0" applyFont="1" applyAlignment="1">
      <alignment horizontal="center" vertical="center" wrapText="1"/>
    </xf>
    <xf numFmtId="0" fontId="1" fillId="0" borderId="0" xfId="0" applyFont="1" applyAlignment="1">
      <alignment vertical="center" wrapText="1"/>
    </xf>
    <xf numFmtId="0" fontId="1" fillId="21" borderId="1" xfId="0" applyFont="1" applyFill="1" applyBorder="1" applyAlignment="1">
      <alignment horizontal="center" vertical="center" wrapText="1"/>
    </xf>
    <xf numFmtId="0" fontId="1" fillId="21" borderId="7" xfId="0" applyFont="1" applyFill="1" applyBorder="1" applyAlignment="1">
      <alignment vertical="center" wrapText="1"/>
    </xf>
    <xf numFmtId="0" fontId="32" fillId="0" borderId="0" xfId="0" applyFont="1" applyAlignment="1">
      <alignment vertical="center" wrapText="1"/>
    </xf>
    <xf numFmtId="164" fontId="1" fillId="5" borderId="9" xfId="1" applyNumberFormat="1" applyFont="1" applyFill="1" applyBorder="1" applyAlignment="1">
      <alignment vertical="center" wrapText="1"/>
    </xf>
    <xf numFmtId="164" fontId="1" fillId="6" borderId="9" xfId="1" applyNumberFormat="1" applyFont="1" applyFill="1" applyBorder="1" applyAlignment="1">
      <alignment vertical="center" wrapText="1"/>
    </xf>
    <xf numFmtId="164" fontId="1" fillId="0" borderId="9" xfId="1" applyNumberFormat="1" applyFont="1" applyBorder="1" applyAlignment="1">
      <alignment vertical="center" wrapText="1"/>
    </xf>
    <xf numFmtId="164" fontId="1" fillId="5" borderId="1" xfId="1" applyNumberFormat="1" applyFont="1" applyFill="1" applyBorder="1" applyAlignment="1">
      <alignment vertical="center" wrapText="1"/>
    </xf>
    <xf numFmtId="164" fontId="1" fillId="6" borderId="1" xfId="1" applyNumberFormat="1" applyFont="1" applyFill="1" applyBorder="1" applyAlignment="1">
      <alignment vertical="center" wrapText="1"/>
    </xf>
    <xf numFmtId="0" fontId="1" fillId="0" borderId="1" xfId="0" applyFont="1" applyBorder="1" applyAlignment="1">
      <alignment vertical="center" wrapText="1"/>
    </xf>
    <xf numFmtId="164" fontId="1" fillId="0" borderId="1" xfId="1" applyNumberFormat="1" applyFont="1" applyFill="1" applyBorder="1" applyAlignment="1">
      <alignment vertical="center" wrapText="1"/>
    </xf>
    <xf numFmtId="164" fontId="5" fillId="0" borderId="9" xfId="1" applyNumberFormat="1" applyFont="1" applyBorder="1" applyAlignment="1">
      <alignment vertical="center" wrapText="1"/>
    </xf>
    <xf numFmtId="0" fontId="114" fillId="21" borderId="0" xfId="0" applyFont="1" applyFill="1" applyBorder="1" applyAlignment="1">
      <alignment horizontal="center" vertical="center" wrapText="1"/>
    </xf>
    <xf numFmtId="9" fontId="114" fillId="21" borderId="59" xfId="0" applyNumberFormat="1" applyFont="1" applyFill="1" applyBorder="1" applyAlignment="1">
      <alignment horizontal="center" vertical="center" wrapText="1"/>
    </xf>
    <xf numFmtId="0" fontId="114" fillId="21" borderId="3" xfId="0" applyFont="1" applyFill="1" applyBorder="1" applyAlignment="1">
      <alignment horizontal="center" vertical="center"/>
    </xf>
    <xf numFmtId="0" fontId="126" fillId="21" borderId="0" xfId="0" applyFont="1" applyFill="1" applyAlignment="1">
      <alignment vertical="center" wrapText="1"/>
    </xf>
    <xf numFmtId="0" fontId="126" fillId="21" borderId="59" xfId="0" applyFont="1" applyFill="1" applyBorder="1" applyAlignment="1">
      <alignment horizontal="center" vertical="center" wrapText="1"/>
    </xf>
    <xf numFmtId="0" fontId="5" fillId="0" borderId="9" xfId="0" applyFont="1" applyBorder="1" applyAlignment="1">
      <alignment vertical="center" wrapText="1"/>
    </xf>
    <xf numFmtId="0" fontId="0" fillId="0" borderId="1" xfId="0" applyFont="1" applyBorder="1" applyAlignment="1">
      <alignment horizontal="center" wrapText="1"/>
    </xf>
    <xf numFmtId="0" fontId="0" fillId="0" borderId="0" xfId="0" applyFont="1" applyAlignment="1">
      <alignment wrapText="1"/>
    </xf>
    <xf numFmtId="0" fontId="94" fillId="0" borderId="0" xfId="0" applyFont="1" applyAlignment="1">
      <alignment wrapText="1"/>
    </xf>
    <xf numFmtId="0" fontId="0" fillId="21" borderId="0" xfId="0" applyFont="1" applyFill="1" applyAlignment="1">
      <alignment vertical="center" wrapText="1"/>
    </xf>
    <xf numFmtId="164" fontId="127" fillId="10" borderId="9" xfId="1" applyNumberFormat="1" applyFont="1" applyFill="1" applyBorder="1" applyAlignment="1">
      <alignment vertical="center" wrapText="1"/>
    </xf>
    <xf numFmtId="0" fontId="3" fillId="0" borderId="7" xfId="0" applyFont="1" applyBorder="1" applyAlignment="1">
      <alignment vertical="center" wrapText="1"/>
    </xf>
    <xf numFmtId="0" fontId="0" fillId="21" borderId="0" xfId="0" applyFont="1" applyFill="1" applyAlignment="1">
      <alignment wrapText="1"/>
    </xf>
    <xf numFmtId="0" fontId="0" fillId="0" borderId="7" xfId="0" applyFont="1" applyBorder="1" applyAlignment="1">
      <alignment horizontal="left" vertical="center" wrapText="1"/>
    </xf>
    <xf numFmtId="0" fontId="122" fillId="0" borderId="0" xfId="0" applyFont="1" applyAlignment="1">
      <alignment horizontal="left" vertical="top" wrapText="1"/>
    </xf>
    <xf numFmtId="164" fontId="1" fillId="0" borderId="0" xfId="0" applyNumberFormat="1" applyFont="1"/>
    <xf numFmtId="0" fontId="0" fillId="0" borderId="9" xfId="0" applyFont="1" applyBorder="1" applyAlignment="1">
      <alignment wrapText="1"/>
    </xf>
    <xf numFmtId="0" fontId="11" fillId="0" borderId="9" xfId="0" applyFont="1" applyBorder="1" applyAlignment="1">
      <alignment horizontal="justify" vertical="center" wrapText="1"/>
    </xf>
    <xf numFmtId="164" fontId="10" fillId="3" borderId="9" xfId="1" applyNumberFormat="1" applyFont="1" applyFill="1" applyBorder="1" applyAlignment="1">
      <alignment vertical="center" wrapText="1"/>
    </xf>
    <xf numFmtId="164" fontId="10" fillId="0" borderId="1" xfId="1" applyNumberFormat="1" applyFont="1" applyBorder="1" applyAlignment="1">
      <alignment vertical="center" wrapText="1"/>
    </xf>
    <xf numFmtId="164" fontId="10" fillId="3" borderId="1" xfId="1" applyNumberFormat="1" applyFont="1" applyFill="1" applyBorder="1" applyAlignment="1">
      <alignment vertical="center" wrapText="1"/>
    </xf>
    <xf numFmtId="49" fontId="114" fillId="21" borderId="77" xfId="7" applyNumberFormat="1" applyFont="1" applyFill="1" applyBorder="1" applyAlignment="1">
      <alignment horizontal="center" vertical="center" wrapText="1"/>
    </xf>
    <xf numFmtId="49" fontId="114" fillId="21" borderId="77" xfId="7" quotePrefix="1" applyNumberFormat="1" applyFont="1" applyFill="1" applyBorder="1" applyAlignment="1">
      <alignment horizontal="center" vertical="center" wrapText="1"/>
    </xf>
    <xf numFmtId="0" fontId="114" fillId="21" borderId="2" xfId="7" applyFont="1" applyFill="1" applyBorder="1" applyAlignment="1">
      <alignment horizontal="center" vertical="center" wrapText="1"/>
    </xf>
    <xf numFmtId="0" fontId="114" fillId="21" borderId="9" xfId="7" applyFont="1" applyFill="1" applyBorder="1" applyAlignment="1">
      <alignment horizontal="center" vertical="center" wrapText="1"/>
    </xf>
    <xf numFmtId="0" fontId="114" fillId="21" borderId="15" xfId="7" applyFont="1" applyFill="1" applyBorder="1" applyAlignment="1">
      <alignment horizontal="center" vertical="center" wrapText="1"/>
    </xf>
    <xf numFmtId="0" fontId="114" fillId="21" borderId="5" xfId="7" applyFont="1" applyFill="1" applyBorder="1" applyAlignment="1">
      <alignment horizontal="center" vertical="center" wrapText="1"/>
    </xf>
    <xf numFmtId="0" fontId="114" fillId="21" borderId="1" xfId="7" applyFont="1" applyFill="1" applyBorder="1" applyAlignment="1">
      <alignment horizontal="center" vertical="center" wrapText="1"/>
    </xf>
    <xf numFmtId="0" fontId="114" fillId="21" borderId="7" xfId="7"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left" vertical="center"/>
    </xf>
    <xf numFmtId="0" fontId="96" fillId="0" borderId="1" xfId="7" applyFont="1" applyBorder="1" applyAlignment="1">
      <alignment horizontal="left" vertical="center" wrapText="1"/>
    </xf>
    <xf numFmtId="164" fontId="97" fillId="0" borderId="1" xfId="1" applyNumberFormat="1" applyFont="1" applyFill="1" applyBorder="1" applyAlignment="1">
      <alignment wrapText="1"/>
    </xf>
    <xf numFmtId="0" fontId="114" fillId="21" borderId="102" xfId="0" applyFont="1" applyFill="1" applyBorder="1"/>
    <xf numFmtId="0" fontId="114" fillId="21" borderId="103" xfId="0" applyFont="1" applyFill="1" applyBorder="1"/>
    <xf numFmtId="0" fontId="114" fillId="21" borderId="104" xfId="0" applyFont="1" applyFill="1" applyBorder="1"/>
    <xf numFmtId="0" fontId="114" fillId="21" borderId="105" xfId="0" applyFont="1" applyFill="1" applyBorder="1"/>
    <xf numFmtId="0" fontId="114" fillId="21" borderId="3" xfId="0" applyFont="1" applyFill="1" applyBorder="1"/>
    <xf numFmtId="0" fontId="114" fillId="21" borderId="64" xfId="0" applyFont="1" applyFill="1" applyBorder="1"/>
    <xf numFmtId="49" fontId="129" fillId="21" borderId="78" xfId="8" applyNumberFormat="1" applyFont="1" applyFill="1" applyBorder="1" applyAlignment="1">
      <alignment horizontal="center" vertical="center" wrapText="1"/>
    </xf>
    <xf numFmtId="49" fontId="128" fillId="21" borderId="113" xfId="8" applyNumberFormat="1" applyFont="1" applyFill="1" applyBorder="1" applyAlignment="1">
      <alignment horizontal="center" vertical="center" wrapText="1"/>
    </xf>
    <xf numFmtId="0" fontId="6" fillId="4" borderId="1" xfId="9" applyFont="1" applyFill="1" applyBorder="1" applyAlignment="1">
      <alignment horizontal="center" vertical="center" wrapText="1"/>
    </xf>
    <xf numFmtId="164" fontId="5" fillId="13" borderId="37" xfId="1" applyNumberFormat="1" applyFont="1" applyFill="1" applyBorder="1" applyAlignment="1">
      <alignment wrapText="1"/>
    </xf>
    <xf numFmtId="164" fontId="6" fillId="0" borderId="38" xfId="1" applyNumberFormat="1" applyFont="1" applyFill="1" applyBorder="1" applyAlignment="1">
      <alignment horizontal="center" wrapText="1"/>
    </xf>
    <xf numFmtId="164" fontId="5" fillId="0" borderId="39" xfId="1" applyNumberFormat="1" applyFont="1" applyFill="1" applyBorder="1" applyAlignment="1">
      <alignment wrapText="1"/>
    </xf>
    <xf numFmtId="164" fontId="5" fillId="13" borderId="40" xfId="1" applyNumberFormat="1" applyFont="1" applyFill="1" applyBorder="1" applyAlignment="1">
      <alignment wrapText="1"/>
    </xf>
    <xf numFmtId="164" fontId="5" fillId="13" borderId="41" xfId="1" applyNumberFormat="1" applyFont="1" applyFill="1" applyBorder="1" applyAlignment="1">
      <alignment wrapText="1"/>
    </xf>
    <xf numFmtId="164" fontId="6" fillId="13" borderId="41" xfId="1" applyNumberFormat="1" applyFont="1" applyFill="1" applyBorder="1" applyAlignment="1">
      <alignment horizontal="center" wrapText="1"/>
    </xf>
    <xf numFmtId="164" fontId="5" fillId="7" borderId="40" xfId="1" applyNumberFormat="1" applyFont="1" applyFill="1" applyBorder="1" applyAlignment="1">
      <alignment wrapText="1"/>
    </xf>
    <xf numFmtId="164" fontId="5" fillId="7" borderId="41" xfId="1" applyNumberFormat="1" applyFont="1" applyFill="1" applyBorder="1" applyAlignment="1">
      <alignment wrapText="1"/>
    </xf>
    <xf numFmtId="164" fontId="5" fillId="0" borderId="42" xfId="1" applyNumberFormat="1" applyFont="1" applyFill="1" applyBorder="1" applyAlignment="1">
      <alignment wrapText="1"/>
    </xf>
    <xf numFmtId="164" fontId="5" fillId="0" borderId="43" xfId="1" applyNumberFormat="1" applyFont="1" applyFill="1" applyBorder="1" applyAlignment="1">
      <alignment wrapText="1"/>
    </xf>
    <xf numFmtId="164" fontId="5" fillId="0" borderId="44" xfId="1" applyNumberFormat="1" applyFont="1" applyFill="1" applyBorder="1" applyAlignment="1">
      <alignment wrapText="1"/>
    </xf>
    <xf numFmtId="164" fontId="5" fillId="0" borderId="45" xfId="1" applyNumberFormat="1" applyFont="1" applyFill="1" applyBorder="1" applyAlignment="1">
      <alignment wrapText="1"/>
    </xf>
    <xf numFmtId="164" fontId="5" fillId="0" borderId="46" xfId="1" applyNumberFormat="1" applyFont="1" applyFill="1" applyBorder="1" applyAlignment="1">
      <alignment wrapText="1"/>
    </xf>
    <xf numFmtId="0" fontId="6" fillId="0" borderId="1" xfId="0" applyFont="1" applyBorder="1" applyAlignment="1">
      <alignment wrapText="1"/>
    </xf>
    <xf numFmtId="0" fontId="6" fillId="0" borderId="1" xfId="0" applyFont="1" applyBorder="1" applyAlignment="1">
      <alignment horizontal="left" wrapText="1"/>
    </xf>
    <xf numFmtId="0" fontId="6" fillId="7" borderId="1" xfId="0" applyFont="1" applyFill="1" applyBorder="1" applyAlignment="1">
      <alignment horizontal="left" wrapText="1"/>
    </xf>
    <xf numFmtId="0" fontId="6" fillId="21" borderId="0" xfId="10" applyFont="1" applyFill="1" applyBorder="1" applyAlignment="1">
      <alignment vertical="center"/>
    </xf>
    <xf numFmtId="0" fontId="5" fillId="21" borderId="0" xfId="6" applyFont="1" applyFill="1">
      <alignment vertical="center"/>
    </xf>
    <xf numFmtId="0" fontId="5" fillId="21" borderId="0" xfId="3" applyFont="1" applyFill="1">
      <alignment vertical="center"/>
    </xf>
    <xf numFmtId="0" fontId="113" fillId="21" borderId="76" xfId="12" applyFont="1" applyFill="1" applyBorder="1" applyAlignment="1">
      <alignment horizontal="center" vertical="center" wrapText="1"/>
    </xf>
    <xf numFmtId="0" fontId="113" fillId="21" borderId="76" xfId="3" applyFont="1" applyFill="1" applyBorder="1" applyAlignment="1">
      <alignment horizontal="center" vertical="center" wrapText="1"/>
    </xf>
    <xf numFmtId="0" fontId="114" fillId="21" borderId="59" xfId="3" quotePrefix="1" applyFont="1" applyFill="1" applyBorder="1" applyAlignment="1">
      <alignment horizontal="center" vertical="center"/>
    </xf>
    <xf numFmtId="0" fontId="113" fillId="21" borderId="59" xfId="3" applyFont="1" applyFill="1" applyBorder="1" applyAlignment="1">
      <alignment horizontal="center" vertical="center" wrapText="1"/>
    </xf>
    <xf numFmtId="0" fontId="114" fillId="21" borderId="0" xfId="6" applyFont="1" applyFill="1" applyAlignment="1"/>
    <xf numFmtId="0" fontId="6" fillId="0" borderId="1" xfId="3" quotePrefix="1" applyFont="1" applyBorder="1" applyAlignment="1">
      <alignment horizontal="center" vertical="center" wrapText="1"/>
    </xf>
    <xf numFmtId="0" fontId="6" fillId="0" borderId="10" xfId="3" applyFont="1" applyBorder="1" applyAlignment="1">
      <alignment horizontal="left" vertical="center" wrapText="1"/>
    </xf>
    <xf numFmtId="164" fontId="5" fillId="0" borderId="9" xfId="1" applyNumberFormat="1" applyFont="1" applyFill="1" applyBorder="1" applyAlignment="1" applyProtection="1">
      <alignment horizontal="center" vertical="center" wrapText="1"/>
      <protection locked="0"/>
    </xf>
    <xf numFmtId="164" fontId="5" fillId="19" borderId="9" xfId="1" applyNumberFormat="1" applyFont="1" applyFill="1" applyBorder="1" applyAlignment="1" applyProtection="1">
      <alignment horizontal="center" vertical="center" wrapText="1"/>
      <protection locked="0"/>
    </xf>
    <xf numFmtId="164" fontId="5" fillId="19" borderId="2" xfId="1" applyNumberFormat="1" applyFont="1" applyFill="1" applyBorder="1" applyAlignment="1" applyProtection="1">
      <alignment horizontal="center" vertical="center" wrapText="1"/>
      <protection locked="0"/>
    </xf>
    <xf numFmtId="0" fontId="5" fillId="0" borderId="1" xfId="3" quotePrefix="1" applyFont="1" applyBorder="1" applyAlignment="1">
      <alignment horizontal="center" vertical="center" wrapText="1"/>
    </xf>
    <xf numFmtId="0" fontId="5" fillId="0" borderId="5" xfId="3" applyFont="1" applyBorder="1" applyAlignment="1">
      <alignment horizontal="left" vertical="center" wrapText="1"/>
    </xf>
    <xf numFmtId="164" fontId="5" fillId="0" borderId="1" xfId="1" applyNumberFormat="1" applyFont="1" applyFill="1" applyBorder="1" applyAlignment="1" applyProtection="1">
      <alignment horizontal="center" vertical="center" wrapText="1"/>
      <protection locked="0"/>
    </xf>
    <xf numFmtId="164" fontId="5" fillId="0" borderId="5" xfId="1" applyNumberFormat="1" applyFont="1" applyFill="1" applyBorder="1" applyAlignment="1" applyProtection="1">
      <alignment horizontal="center" vertical="center" wrapText="1"/>
      <protection locked="0"/>
    </xf>
    <xf numFmtId="0" fontId="5" fillId="0" borderId="13" xfId="3" applyFont="1" applyBorder="1" applyAlignment="1">
      <alignment horizontal="left" vertical="center" wrapText="1"/>
    </xf>
    <xf numFmtId="164" fontId="99" fillId="19" borderId="1" xfId="1" applyNumberFormat="1" applyFont="1" applyFill="1" applyBorder="1" applyAlignment="1" applyProtection="1">
      <alignment horizontal="center" vertical="center" wrapText="1"/>
      <protection locked="0"/>
    </xf>
    <xf numFmtId="164" fontId="99" fillId="19" borderId="5" xfId="1" applyNumberFormat="1" applyFont="1" applyFill="1" applyBorder="1" applyAlignment="1" applyProtection="1">
      <alignment horizontal="center" vertical="center" wrapText="1"/>
      <protection locked="0"/>
    </xf>
    <xf numFmtId="0" fontId="130" fillId="0" borderId="0" xfId="0" applyFont="1" applyAlignment="1">
      <alignment vertical="center"/>
    </xf>
    <xf numFmtId="0" fontId="131" fillId="0" borderId="0" xfId="0" applyFont="1" applyAlignment="1">
      <alignment vertical="center"/>
    </xf>
    <xf numFmtId="0" fontId="132" fillId="0" borderId="0" xfId="0" applyFont="1" applyAlignment="1">
      <alignment vertical="center"/>
    </xf>
    <xf numFmtId="0" fontId="0" fillId="0" borderId="0" xfId="0" applyAlignment="1">
      <alignment horizontal="left"/>
    </xf>
    <xf numFmtId="0" fontId="133" fillId="0" borderId="0" xfId="0" applyFont="1" applyAlignment="1">
      <alignment vertical="center"/>
    </xf>
    <xf numFmtId="0" fontId="0" fillId="0" borderId="0" xfId="0" applyAlignment="1">
      <alignment horizontal="right" vertical="top"/>
    </xf>
    <xf numFmtId="0" fontId="135" fillId="0" borderId="0" xfId="0" applyFont="1" applyAlignment="1">
      <alignment vertical="center"/>
    </xf>
    <xf numFmtId="0" fontId="136" fillId="0" borderId="0" xfId="0" applyFont="1" applyAlignment="1">
      <alignment vertical="center"/>
    </xf>
    <xf numFmtId="0" fontId="110" fillId="0" borderId="0" xfId="13" applyAlignment="1">
      <alignment horizontal="left"/>
    </xf>
    <xf numFmtId="6" fontId="114" fillId="21" borderId="59" xfId="0" applyNumberFormat="1" applyFont="1" applyFill="1" applyBorder="1" applyAlignment="1">
      <alignment horizontal="center" vertical="center" wrapText="1"/>
    </xf>
    <xf numFmtId="0" fontId="137" fillId="21" borderId="0" xfId="0" applyFont="1" applyFill="1"/>
    <xf numFmtId="0" fontId="113" fillId="21" borderId="0" xfId="0" applyFont="1" applyFill="1" applyAlignment="1">
      <alignment horizontal="center"/>
    </xf>
    <xf numFmtId="0" fontId="3" fillId="0" borderId="6" xfId="0" applyFont="1" applyBorder="1"/>
    <xf numFmtId="0" fontId="0" fillId="0" borderId="5" xfId="0" applyBorder="1"/>
    <xf numFmtId="0" fontId="0" fillId="0" borderId="8" xfId="0" applyBorder="1"/>
    <xf numFmtId="0" fontId="5" fillId="0" borderId="14" xfId="0" applyFont="1" applyBorder="1"/>
    <xf numFmtId="0" fontId="110" fillId="0" borderId="14" xfId="13" applyBorder="1" applyAlignment="1">
      <alignment horizontal="center"/>
    </xf>
    <xf numFmtId="0" fontId="0" fillId="0" borderId="13" xfId="0" applyBorder="1"/>
    <xf numFmtId="0" fontId="0" fillId="0" borderId="3" xfId="0" applyFont="1" applyBorder="1"/>
    <xf numFmtId="0" fontId="110" fillId="0" borderId="3" xfId="13" applyBorder="1" applyAlignment="1">
      <alignment horizontal="center"/>
    </xf>
    <xf numFmtId="0" fontId="0" fillId="0" borderId="2" xfId="0" applyBorder="1"/>
    <xf numFmtId="0" fontId="0" fillId="0" borderId="14" xfId="0" applyFont="1" applyBorder="1" applyAlignment="1">
      <alignment horizontal="left" wrapText="1"/>
    </xf>
    <xf numFmtId="0" fontId="0" fillId="0" borderId="13" xfId="0" applyFont="1" applyBorder="1"/>
    <xf numFmtId="0" fontId="0" fillId="0" borderId="34" xfId="0" applyBorder="1"/>
    <xf numFmtId="0" fontId="0" fillId="0" borderId="0" xfId="0" applyFont="1" applyBorder="1" applyAlignment="1">
      <alignment horizontal="left" wrapText="1"/>
    </xf>
    <xf numFmtId="0" fontId="110" fillId="0" borderId="0" xfId="13" applyBorder="1" applyAlignment="1">
      <alignment horizontal="center"/>
    </xf>
    <xf numFmtId="0" fontId="0" fillId="0" borderId="4" xfId="0" applyBorder="1"/>
    <xf numFmtId="0" fontId="0" fillId="0" borderId="0" xfId="0" applyFont="1" applyBorder="1" applyAlignment="1"/>
    <xf numFmtId="0" fontId="0" fillId="0" borderId="3" xfId="0" applyFont="1" applyBorder="1" applyAlignment="1"/>
    <xf numFmtId="0" fontId="110" fillId="0" borderId="6" xfId="13" applyBorder="1" applyAlignment="1">
      <alignment horizontal="center"/>
    </xf>
    <xf numFmtId="0" fontId="0" fillId="0" borderId="14" xfId="0" applyFont="1" applyBorder="1" applyAlignment="1"/>
    <xf numFmtId="0" fontId="3" fillId="0" borderId="6" xfId="0" applyFont="1" applyBorder="1" applyAlignment="1"/>
    <xf numFmtId="0" fontId="0" fillId="0" borderId="3" xfId="0" applyFont="1" applyBorder="1" applyAlignment="1">
      <alignment horizontal="left" wrapText="1"/>
    </xf>
    <xf numFmtId="0" fontId="0" fillId="0" borderId="0" xfId="0" applyBorder="1"/>
    <xf numFmtId="0" fontId="0" fillId="0" borderId="6" xfId="0" applyFont="1" applyBorder="1" applyAlignment="1">
      <alignment horizontal="left" wrapText="1"/>
    </xf>
    <xf numFmtId="0" fontId="0" fillId="0" borderId="14" xfId="0" applyBorder="1"/>
    <xf numFmtId="0" fontId="0" fillId="0" borderId="6" xfId="0" applyBorder="1"/>
    <xf numFmtId="0" fontId="0" fillId="7" borderId="7" xfId="0" applyFill="1" applyBorder="1"/>
    <xf numFmtId="0" fontId="3" fillId="7" borderId="6" xfId="0" applyFont="1" applyFill="1" applyBorder="1"/>
    <xf numFmtId="0" fontId="0" fillId="7" borderId="5" xfId="0" applyFill="1" applyBorder="1"/>
    <xf numFmtId="0" fontId="113" fillId="21" borderId="0" xfId="0" applyFont="1" applyFill="1"/>
    <xf numFmtId="0" fontId="114" fillId="21" borderId="90" xfId="0" applyFont="1" applyFill="1" applyBorder="1"/>
    <xf numFmtId="0" fontId="114" fillId="21" borderId="63" xfId="0" applyFont="1" applyFill="1" applyBorder="1"/>
    <xf numFmtId="0" fontId="114" fillId="21" borderId="93" xfId="0" applyFont="1" applyFill="1" applyBorder="1" applyAlignment="1">
      <alignment horizontal="center"/>
    </xf>
    <xf numFmtId="0" fontId="114" fillId="21" borderId="101" xfId="0" applyFont="1" applyFill="1" applyBorder="1"/>
    <xf numFmtId="0" fontId="113" fillId="21" borderId="65" xfId="0" applyFont="1" applyFill="1" applyBorder="1" applyAlignment="1">
      <alignment horizontal="center" wrapText="1"/>
    </xf>
    <xf numFmtId="0" fontId="0" fillId="21" borderId="0" xfId="0" applyFill="1" applyBorder="1"/>
    <xf numFmtId="0" fontId="114" fillId="21" borderId="69" xfId="0" applyFont="1" applyFill="1" applyBorder="1"/>
    <xf numFmtId="0" fontId="0" fillId="21" borderId="63" xfId="0" applyFill="1" applyBorder="1"/>
    <xf numFmtId="0" fontId="114" fillId="21" borderId="70" xfId="0" applyFont="1" applyFill="1" applyBorder="1"/>
    <xf numFmtId="0" fontId="114" fillId="21" borderId="59" xfId="0" applyFont="1" applyFill="1" applyBorder="1" applyAlignment="1">
      <alignment horizontal="center" vertical="center"/>
    </xf>
    <xf numFmtId="0" fontId="114" fillId="21" borderId="59"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9" xfId="0" applyFont="1" applyBorder="1" applyAlignment="1">
      <alignment horizontal="left" vertical="center" wrapText="1"/>
    </xf>
    <xf numFmtId="0" fontId="114" fillId="21" borderId="77" xfId="0" applyFont="1" applyFill="1" applyBorder="1" applyAlignment="1">
      <alignment horizontal="center"/>
    </xf>
    <xf numFmtId="0" fontId="114" fillId="21" borderId="59" xfId="0" applyFont="1" applyFill="1" applyBorder="1" applyAlignment="1">
      <alignment horizontal="center"/>
    </xf>
    <xf numFmtId="0" fontId="43" fillId="0" borderId="0" xfId="0" applyFont="1" applyBorder="1"/>
    <xf numFmtId="0" fontId="43" fillId="0" borderId="0" xfId="0" applyFont="1"/>
    <xf numFmtId="0" fontId="123" fillId="21" borderId="59" xfId="0" applyFont="1" applyFill="1" applyBorder="1" applyAlignment="1">
      <alignment horizontal="center" vertical="center" wrapText="1"/>
    </xf>
    <xf numFmtId="0" fontId="114" fillId="21" borderId="59" xfId="0" applyFont="1" applyFill="1" applyBorder="1" applyAlignment="1">
      <alignment horizontal="center" vertical="center" wrapText="1"/>
    </xf>
    <xf numFmtId="0" fontId="0" fillId="0" borderId="8" xfId="0" applyBorder="1" applyAlignment="1">
      <alignment vertical="top"/>
    </xf>
    <xf numFmtId="0" fontId="113" fillId="21" borderId="8" xfId="0" applyFont="1" applyFill="1" applyBorder="1"/>
    <xf numFmtId="0" fontId="114" fillId="21" borderId="14" xfId="0" applyFont="1" applyFill="1" applyBorder="1"/>
    <xf numFmtId="0" fontId="114" fillId="21" borderId="13" xfId="0" applyFont="1" applyFill="1" applyBorder="1"/>
    <xf numFmtId="0" fontId="0" fillId="0" borderId="0" xfId="0" applyFont="1" applyBorder="1"/>
    <xf numFmtId="0" fontId="0" fillId="0" borderId="34" xfId="0" applyBorder="1" applyAlignment="1">
      <alignment vertical="top"/>
    </xf>
    <xf numFmtId="0" fontId="36" fillId="21" borderId="0" xfId="0" applyFont="1" applyFill="1" applyAlignment="1">
      <alignment horizontal="center" vertical="center" wrapText="1"/>
    </xf>
    <xf numFmtId="0" fontId="36" fillId="21" borderId="0" xfId="0" applyFont="1" applyFill="1" applyAlignment="1">
      <alignment horizontal="center" vertical="center"/>
    </xf>
    <xf numFmtId="164" fontId="36" fillId="6" borderId="9" xfId="1" applyNumberFormat="1" applyFont="1" applyFill="1" applyBorder="1" applyAlignment="1">
      <alignment vertical="center"/>
    </xf>
    <xf numFmtId="164" fontId="36" fillId="0" borderId="9" xfId="1" applyNumberFormat="1" applyFont="1" applyBorder="1" applyAlignment="1">
      <alignment vertical="center"/>
    </xf>
    <xf numFmtId="0" fontId="123" fillId="21" borderId="77" xfId="0" applyFont="1" applyFill="1" applyBorder="1" applyAlignment="1">
      <alignment horizontal="center" vertical="center" wrapText="1"/>
    </xf>
    <xf numFmtId="0" fontId="5" fillId="21" borderId="0" xfId="0" applyFont="1" applyFill="1" applyAlignment="1">
      <alignment vertical="center"/>
    </xf>
    <xf numFmtId="0" fontId="5" fillId="21" borderId="3" xfId="0" applyFont="1" applyFill="1" applyBorder="1" applyAlignment="1">
      <alignment vertical="center"/>
    </xf>
    <xf numFmtId="0" fontId="5" fillId="21" borderId="0" xfId="0" applyFont="1" applyFill="1" applyBorder="1" applyAlignment="1">
      <alignment vertical="center"/>
    </xf>
    <xf numFmtId="0" fontId="114" fillId="21" borderId="74" xfId="0" applyFont="1" applyFill="1" applyBorder="1" applyAlignment="1">
      <alignment horizontal="center"/>
    </xf>
    <xf numFmtId="0" fontId="114" fillId="21" borderId="3" xfId="0" applyFont="1" applyFill="1" applyBorder="1" applyAlignment="1">
      <alignment horizontal="center"/>
    </xf>
    <xf numFmtId="0" fontId="114" fillId="21" borderId="76" xfId="0" applyFont="1" applyFill="1" applyBorder="1" applyAlignment="1">
      <alignment horizontal="center"/>
    </xf>
    <xf numFmtId="0" fontId="5" fillId="0" borderId="9" xfId="0" applyFont="1" applyBorder="1" applyAlignment="1">
      <alignment vertical="center"/>
    </xf>
    <xf numFmtId="0" fontId="5" fillId="0" borderId="34" xfId="0" applyFont="1" applyBorder="1" applyAlignment="1">
      <alignment horizontal="center"/>
    </xf>
    <xf numFmtId="0" fontId="114" fillId="21" borderId="66" xfId="0" applyFont="1" applyFill="1" applyBorder="1" applyAlignment="1">
      <alignment horizontal="center"/>
    </xf>
    <xf numFmtId="0" fontId="114" fillId="21" borderId="66" xfId="0" applyFont="1" applyFill="1" applyBorder="1" applyAlignment="1">
      <alignment horizontal="center" vertical="center"/>
    </xf>
    <xf numFmtId="0" fontId="5" fillId="0" borderId="9" xfId="0" applyFont="1" applyBorder="1"/>
    <xf numFmtId="9" fontId="114" fillId="21" borderId="76" xfId="2" applyFont="1" applyFill="1" applyBorder="1" applyAlignment="1">
      <alignment horizontal="center" vertical="center" wrapText="1"/>
    </xf>
    <xf numFmtId="0" fontId="5" fillId="21" borderId="0" xfId="0" applyFont="1" applyFill="1" applyBorder="1"/>
    <xf numFmtId="0" fontId="5" fillId="21" borderId="3" xfId="0" applyFont="1" applyFill="1" applyBorder="1"/>
    <xf numFmtId="9" fontId="114" fillId="21" borderId="59" xfId="2" applyFont="1" applyFill="1" applyBorder="1" applyAlignment="1">
      <alignment horizontal="center" vertical="center" wrapText="1"/>
    </xf>
    <xf numFmtId="0" fontId="114" fillId="21" borderId="15" xfId="0" applyFont="1" applyFill="1" applyBorder="1" applyAlignment="1">
      <alignment horizontal="center"/>
    </xf>
    <xf numFmtId="0" fontId="6" fillId="21" borderId="0" xfId="0" applyFont="1" applyFill="1"/>
    <xf numFmtId="164" fontId="5" fillId="0" borderId="9" xfId="1" applyNumberFormat="1" applyFont="1" applyBorder="1"/>
    <xf numFmtId="0" fontId="114" fillId="21" borderId="59" xfId="0" applyFont="1" applyFill="1" applyBorder="1" applyAlignment="1">
      <alignment horizontal="left" vertical="top" wrapText="1"/>
    </xf>
    <xf numFmtId="0" fontId="100" fillId="0" borderId="9" xfId="8" applyFont="1" applyBorder="1" applyAlignment="1">
      <alignment wrapText="1"/>
    </xf>
    <xf numFmtId="164" fontId="0" fillId="0" borderId="9" xfId="1" applyNumberFormat="1" applyFont="1" applyBorder="1"/>
    <xf numFmtId="0" fontId="114" fillId="21" borderId="77" xfId="0" applyFont="1" applyFill="1" applyBorder="1" applyAlignment="1">
      <alignment horizontal="center" wrapText="1"/>
    </xf>
    <xf numFmtId="0" fontId="5" fillId="0" borderId="9" xfId="3" quotePrefix="1" applyFont="1" applyBorder="1" applyAlignment="1">
      <alignment horizontal="center" vertical="center"/>
    </xf>
    <xf numFmtId="0" fontId="114" fillId="21" borderId="0" xfId="3" quotePrefix="1" applyFont="1" applyFill="1" applyAlignment="1">
      <alignment horizontal="right" vertical="center"/>
    </xf>
    <xf numFmtId="0" fontId="114" fillId="21" borderId="0" xfId="3" applyFont="1" applyFill="1" applyAlignment="1">
      <alignment horizontal="left" vertical="center" wrapText="1" indent="1"/>
    </xf>
    <xf numFmtId="0" fontId="114" fillId="21" borderId="0" xfId="6" applyFont="1" applyFill="1">
      <alignment vertical="center"/>
    </xf>
    <xf numFmtId="0" fontId="114" fillId="21" borderId="0" xfId="6" applyFont="1" applyFill="1" applyAlignment="1">
      <alignment horizontal="left" vertical="center" wrapText="1" indent="1"/>
    </xf>
    <xf numFmtId="0" fontId="114" fillId="21" borderId="74" xfId="6" applyFont="1" applyFill="1" applyBorder="1">
      <alignment vertical="center"/>
    </xf>
    <xf numFmtId="0" fontId="113" fillId="21" borderId="59" xfId="12" applyFont="1" applyFill="1" applyBorder="1" applyAlignment="1">
      <alignment horizontal="center" vertical="center" wrapText="1"/>
    </xf>
    <xf numFmtId="0" fontId="113" fillId="21" borderId="69" xfId="12" applyFont="1" applyFill="1" applyBorder="1" applyAlignment="1">
      <alignment horizontal="center" vertical="center" wrapText="1"/>
    </xf>
    <xf numFmtId="0" fontId="126" fillId="21" borderId="0" xfId="3" applyFont="1" applyFill="1">
      <alignment vertical="center"/>
    </xf>
    <xf numFmtId="0" fontId="138" fillId="21" borderId="0" xfId="10" applyFont="1" applyFill="1" applyBorder="1" applyAlignment="1">
      <alignment vertical="center" wrapText="1"/>
    </xf>
    <xf numFmtId="0" fontId="139" fillId="21" borderId="59" xfId="12" applyFont="1" applyFill="1" applyBorder="1" applyAlignment="1">
      <alignment horizontal="center" vertical="center" wrapText="1"/>
    </xf>
    <xf numFmtId="0" fontId="139" fillId="21" borderId="59" xfId="12" applyFont="1" applyFill="1" applyBorder="1" applyAlignment="1">
      <alignment vertical="center" wrapText="1"/>
    </xf>
    <xf numFmtId="0" fontId="5" fillId="0" borderId="0" xfId="0" applyFont="1" applyBorder="1" applyAlignment="1">
      <alignment vertical="center"/>
    </xf>
    <xf numFmtId="0" fontId="114" fillId="21" borderId="59" xfId="0" applyFont="1" applyFill="1" applyBorder="1" applyAlignment="1">
      <alignment horizontal="center" vertical="center" wrapText="1"/>
    </xf>
    <xf numFmtId="164" fontId="0" fillId="5" borderId="1" xfId="1" applyNumberFormat="1" applyFont="1" applyFill="1" applyBorder="1" applyAlignment="1">
      <alignment vertical="center" wrapText="1"/>
    </xf>
    <xf numFmtId="4" fontId="5" fillId="0" borderId="1" xfId="4" applyNumberFormat="1" applyFont="1" applyFill="1" applyAlignment="1">
      <alignment horizontal="center" vertical="center" wrapText="1"/>
      <protection locked="0"/>
    </xf>
    <xf numFmtId="0" fontId="110" fillId="0" borderId="0" xfId="13"/>
    <xf numFmtId="0" fontId="43" fillId="0" borderId="0" xfId="0" applyFont="1"/>
    <xf numFmtId="0" fontId="132" fillId="0" borderId="0" xfId="0" applyFont="1" applyAlignment="1">
      <alignment horizontal="left" vertical="top" wrapText="1"/>
    </xf>
    <xf numFmtId="0" fontId="132" fillId="0" borderId="0" xfId="0" applyFont="1" applyAlignment="1">
      <alignment vertical="top" wrapText="1"/>
    </xf>
    <xf numFmtId="0" fontId="0" fillId="0" borderId="0" xfId="0" applyAlignment="1">
      <alignment vertical="top" wrapText="1"/>
    </xf>
    <xf numFmtId="0" fontId="43" fillId="0" borderId="0" xfId="0" applyFont="1" applyAlignment="1">
      <alignment horizontal="left" vertical="top" wrapText="1"/>
    </xf>
    <xf numFmtId="0" fontId="43" fillId="0" borderId="0" xfId="0" applyFont="1" applyAlignment="1">
      <alignment vertical="top" wrapText="1"/>
    </xf>
    <xf numFmtId="0" fontId="132" fillId="0" borderId="0" xfId="0" applyFont="1" applyAlignment="1">
      <alignment vertical="center" wrapText="1"/>
    </xf>
    <xf numFmtId="0" fontId="43" fillId="0" borderId="0" xfId="0" applyFont="1" applyAlignment="1">
      <alignment wrapText="1"/>
    </xf>
    <xf numFmtId="0" fontId="114" fillId="21" borderId="67" xfId="0" applyFont="1" applyFill="1" applyBorder="1" applyAlignment="1">
      <alignment horizontal="center" vertical="center" wrapText="1"/>
    </xf>
    <xf numFmtId="0" fontId="114" fillId="21" borderId="68" xfId="0" applyFont="1" applyFill="1" applyBorder="1" applyAlignment="1">
      <alignment horizontal="center" vertical="center" wrapText="1"/>
    </xf>
    <xf numFmtId="0" fontId="114" fillId="21" borderId="0" xfId="0" applyFont="1" applyFill="1" applyAlignment="1">
      <alignment horizontal="center" vertical="center" wrapText="1"/>
    </xf>
    <xf numFmtId="0" fontId="114" fillId="21" borderId="0" xfId="0" applyFont="1" applyFill="1" applyBorder="1" applyAlignment="1">
      <alignment horizontal="center" vertical="center" wrapText="1"/>
    </xf>
    <xf numFmtId="0" fontId="114" fillId="21" borderId="3" xfId="0" applyFont="1" applyFill="1" applyBorder="1" applyAlignment="1">
      <alignment horizontal="center" vertical="center" wrapText="1"/>
    </xf>
    <xf numFmtId="0" fontId="114" fillId="21" borderId="0" xfId="0" applyFont="1" applyFill="1" applyAlignment="1">
      <alignment horizontal="left" vertical="center" wrapText="1"/>
    </xf>
    <xf numFmtId="0" fontId="114" fillId="21" borderId="3"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17" fillId="0" borderId="0" xfId="0" applyFont="1" applyAlignment="1">
      <alignment horizontal="justify" vertical="center" wrapText="1"/>
    </xf>
    <xf numFmtId="0" fontId="114" fillId="21" borderId="55" xfId="0" applyFont="1" applyFill="1" applyBorder="1" applyAlignment="1">
      <alignment horizontal="center" vertical="center" wrapText="1"/>
    </xf>
    <xf numFmtId="0" fontId="114" fillId="21" borderId="57" xfId="0" applyFont="1" applyFill="1" applyBorder="1" applyAlignment="1">
      <alignment horizontal="center" vertical="center" wrapText="1"/>
    </xf>
    <xf numFmtId="0" fontId="114" fillId="21" borderId="56" xfId="0" applyFont="1" applyFill="1" applyBorder="1" applyAlignment="1">
      <alignment horizontal="center" vertical="center" wrapText="1"/>
    </xf>
    <xf numFmtId="0" fontId="114" fillId="21" borderId="58" xfId="0" applyFont="1" applyFill="1" applyBorder="1" applyAlignment="1">
      <alignment horizontal="center" vertical="center" wrapText="1"/>
    </xf>
    <xf numFmtId="0" fontId="114" fillId="21" borderId="51" xfId="0" applyFont="1" applyFill="1" applyBorder="1" applyAlignment="1">
      <alignment horizontal="center" vertical="center" wrapText="1"/>
    </xf>
    <xf numFmtId="0" fontId="114" fillId="21" borderId="52" xfId="0" applyFont="1" applyFill="1" applyBorder="1" applyAlignment="1">
      <alignment horizontal="center" vertical="center" wrapText="1"/>
    </xf>
    <xf numFmtId="0" fontId="114" fillId="21" borderId="53" xfId="0" applyFont="1" applyFill="1" applyBorder="1" applyAlignment="1">
      <alignment horizontal="center" vertical="center" wrapText="1"/>
    </xf>
    <xf numFmtId="0" fontId="3" fillId="0" borderId="0" xfId="0" applyFont="1" applyAlignment="1">
      <alignment horizontal="justify" vertical="center" wrapText="1"/>
    </xf>
    <xf numFmtId="0" fontId="0" fillId="0" borderId="0" xfId="0" applyAlignment="1">
      <alignment horizontal="justify" vertical="center" wrapText="1"/>
    </xf>
    <xf numFmtId="0" fontId="14" fillId="0" borderId="0" xfId="0" applyFont="1" applyAlignment="1">
      <alignment horizontal="justify" vertical="center" wrapText="1"/>
    </xf>
    <xf numFmtId="0" fontId="15" fillId="0" borderId="0" xfId="0" applyFont="1" applyAlignment="1">
      <alignment horizontal="justify" vertical="center" wrapText="1"/>
    </xf>
    <xf numFmtId="0" fontId="16" fillId="0" borderId="0" xfId="0" applyFont="1" applyAlignment="1">
      <alignment horizontal="justify" vertical="center" wrapText="1"/>
    </xf>
    <xf numFmtId="0" fontId="115" fillId="22" borderId="62" xfId="0" applyFont="1" applyFill="1" applyBorder="1" applyAlignment="1">
      <alignment horizontal="center" vertical="center" wrapText="1"/>
    </xf>
    <xf numFmtId="0" fontId="115" fillId="22" borderId="61" xfId="0" applyFont="1" applyFill="1" applyBorder="1" applyAlignment="1">
      <alignment horizontal="center" vertical="center" wrapText="1"/>
    </xf>
    <xf numFmtId="0" fontId="115" fillId="22" borderId="59" xfId="0" applyFont="1" applyFill="1" applyBorder="1" applyAlignment="1">
      <alignment horizontal="center" vertical="center" wrapText="1"/>
    </xf>
    <xf numFmtId="0" fontId="114" fillId="21" borderId="0" xfId="0" applyFont="1" applyFill="1" applyAlignment="1">
      <alignment horizontal="left" vertical="center"/>
    </xf>
    <xf numFmtId="0" fontId="114" fillId="21" borderId="63" xfId="0" applyFont="1" applyFill="1" applyBorder="1" applyAlignment="1">
      <alignment horizontal="left" vertical="center"/>
    </xf>
    <xf numFmtId="0" fontId="114" fillId="21" borderId="3" xfId="0" applyFont="1" applyFill="1" applyBorder="1" applyAlignment="1">
      <alignment horizontal="left" vertical="center"/>
    </xf>
    <xf numFmtId="0" fontId="114" fillId="21" borderId="64" xfId="0" applyFont="1" applyFill="1" applyBorder="1" applyAlignment="1">
      <alignment horizontal="left" vertical="center"/>
    </xf>
    <xf numFmtId="0" fontId="114" fillId="21" borderId="59" xfId="0" applyFont="1" applyFill="1" applyBorder="1" applyAlignment="1">
      <alignment horizontal="center" vertical="center"/>
    </xf>
    <xf numFmtId="0" fontId="114" fillId="21" borderId="59"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1" fillId="4" borderId="7" xfId="0" applyFont="1" applyFill="1" applyBorder="1" applyAlignment="1">
      <alignment horizontal="center" vertical="center"/>
    </xf>
    <xf numFmtId="0" fontId="51" fillId="4" borderId="6" xfId="0" applyFont="1" applyFill="1" applyBorder="1" applyAlignment="1">
      <alignment horizontal="center" vertical="center"/>
    </xf>
    <xf numFmtId="0" fontId="51" fillId="4" borderId="5"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164" fontId="5" fillId="0" borderId="10" xfId="1" applyNumberFormat="1" applyFont="1" applyFill="1" applyBorder="1" applyAlignment="1">
      <alignment horizontal="center" vertical="center" wrapText="1"/>
    </xf>
    <xf numFmtId="164" fontId="5" fillId="0" borderId="11" xfId="1" applyNumberFormat="1" applyFont="1" applyFill="1" applyBorder="1" applyAlignment="1">
      <alignment horizontal="center" vertical="center" wrapText="1"/>
    </xf>
    <xf numFmtId="164" fontId="5" fillId="0" borderId="9" xfId="1"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0" xfId="0" applyFont="1" applyAlignment="1">
      <alignment vertical="center" wrapText="1"/>
    </xf>
    <xf numFmtId="0" fontId="11"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3" fillId="21" borderId="0" xfId="0" applyFont="1" applyFill="1" applyAlignment="1">
      <alignment horizontal="left" vertical="center" wrapText="1"/>
    </xf>
    <xf numFmtId="0" fontId="113" fillId="21" borderId="63" xfId="0" applyFont="1" applyFill="1" applyBorder="1" applyAlignment="1">
      <alignment horizontal="left" vertical="center" wrapText="1"/>
    </xf>
    <xf numFmtId="0" fontId="113" fillId="21" borderId="3" xfId="0" applyFont="1" applyFill="1" applyBorder="1" applyAlignment="1">
      <alignment horizontal="left" vertical="center" wrapText="1"/>
    </xf>
    <xf numFmtId="0" fontId="113" fillId="21" borderId="64" xfId="0" applyFont="1" applyFill="1" applyBorder="1" applyAlignment="1">
      <alignment horizontal="left" vertical="center" wrapText="1"/>
    </xf>
    <xf numFmtId="0" fontId="3" fillId="13" borderId="7" xfId="0" applyFont="1" applyFill="1" applyBorder="1" applyAlignment="1">
      <alignment horizontal="center"/>
    </xf>
    <xf numFmtId="0" fontId="3" fillId="13" borderId="6" xfId="0" applyFont="1" applyFill="1" applyBorder="1" applyAlignment="1">
      <alignment horizontal="center"/>
    </xf>
    <xf numFmtId="0" fontId="3" fillId="13" borderId="5" xfId="0" applyFont="1" applyFill="1" applyBorder="1" applyAlignment="1">
      <alignment horizontal="center"/>
    </xf>
    <xf numFmtId="164" fontId="113" fillId="21" borderId="59" xfId="1" applyNumberFormat="1" applyFont="1" applyFill="1" applyBorder="1" applyAlignment="1">
      <alignment horizontal="center" wrapText="1"/>
    </xf>
    <xf numFmtId="0" fontId="114" fillId="21" borderId="84" xfId="0" applyFont="1" applyFill="1" applyBorder="1" applyAlignment="1">
      <alignment horizontal="center"/>
    </xf>
    <xf numFmtId="0" fontId="114" fillId="21" borderId="77" xfId="0" applyFont="1" applyFill="1" applyBorder="1" applyAlignment="1">
      <alignment horizontal="center"/>
    </xf>
    <xf numFmtId="0" fontId="3" fillId="13" borderId="15" xfId="0" applyFont="1" applyFill="1" applyBorder="1" applyAlignment="1">
      <alignment horizontal="center"/>
    </xf>
    <xf numFmtId="0" fontId="3" fillId="13" borderId="3" xfId="0" applyFont="1" applyFill="1" applyBorder="1" applyAlignment="1">
      <alignment horizontal="center"/>
    </xf>
    <xf numFmtId="0" fontId="3" fillId="13" borderId="2" xfId="0" applyFont="1" applyFill="1" applyBorder="1" applyAlignment="1">
      <alignment horizontal="center"/>
    </xf>
    <xf numFmtId="0" fontId="6" fillId="13" borderId="7" xfId="0" applyFont="1" applyFill="1" applyBorder="1" applyAlignment="1">
      <alignment horizontal="center"/>
    </xf>
    <xf numFmtId="0" fontId="6" fillId="13" borderId="6" xfId="0" applyFont="1" applyFill="1" applyBorder="1" applyAlignment="1">
      <alignment horizontal="center"/>
    </xf>
    <xf numFmtId="0" fontId="6" fillId="13" borderId="5" xfId="0" applyFont="1" applyFill="1" applyBorder="1" applyAlignment="1">
      <alignment horizontal="center"/>
    </xf>
    <xf numFmtId="0" fontId="6" fillId="13" borderId="7"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5" xfId="0" applyFont="1" applyFill="1" applyBorder="1" applyAlignment="1">
      <alignment horizontal="center" vertical="center" wrapText="1"/>
    </xf>
    <xf numFmtId="164" fontId="41" fillId="4" borderId="16" xfId="1" applyNumberFormat="1" applyFont="1" applyFill="1" applyBorder="1" applyAlignment="1">
      <alignment vertical="center" wrapText="1"/>
    </xf>
    <xf numFmtId="0" fontId="10" fillId="14" borderId="15" xfId="0" applyFont="1" applyFill="1" applyBorder="1" applyAlignment="1">
      <alignment horizontal="left" vertical="center" wrapText="1"/>
    </xf>
    <xf numFmtId="0" fontId="10" fillId="14" borderId="3" xfId="0" applyFont="1" applyFill="1" applyBorder="1" applyAlignment="1">
      <alignment horizontal="left" vertical="center" wrapText="1"/>
    </xf>
    <xf numFmtId="0" fontId="10" fillId="14" borderId="2" xfId="0" applyFont="1" applyFill="1" applyBorder="1" applyAlignment="1">
      <alignment horizontal="left" vertical="center" wrapText="1"/>
    </xf>
    <xf numFmtId="0" fontId="0" fillId="4" borderId="16" xfId="0" applyFill="1" applyBorder="1" applyAlignment="1">
      <alignment vertical="center" wrapText="1"/>
    </xf>
    <xf numFmtId="0" fontId="10" fillId="14" borderId="7"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5" xfId="0" applyFont="1" applyFill="1" applyBorder="1" applyAlignment="1">
      <alignment horizontal="left" vertical="center" wrapText="1"/>
    </xf>
    <xf numFmtId="6" fontId="114" fillId="21" borderId="0" xfId="0" applyNumberFormat="1" applyFont="1" applyFill="1" applyBorder="1" applyAlignment="1">
      <alignment horizontal="left" vertical="center"/>
    </xf>
    <xf numFmtId="6" fontId="114" fillId="21" borderId="63" xfId="0" applyNumberFormat="1" applyFont="1" applyFill="1" applyBorder="1" applyAlignment="1">
      <alignment horizontal="left" vertical="center"/>
    </xf>
    <xf numFmtId="6" fontId="114" fillId="21" borderId="69" xfId="0" applyNumberFormat="1" applyFont="1" applyFill="1" applyBorder="1" applyAlignment="1">
      <alignment horizontal="left" vertical="center"/>
    </xf>
    <xf numFmtId="6" fontId="114" fillId="21" borderId="70" xfId="0" applyNumberFormat="1" applyFont="1" applyFill="1" applyBorder="1" applyAlignment="1">
      <alignment horizontal="left" vertical="center"/>
    </xf>
    <xf numFmtId="164" fontId="0" fillId="4" borderId="16" xfId="1" applyNumberFormat="1" applyFont="1" applyFill="1" applyBorder="1" applyAlignment="1">
      <alignment vertical="center" wrapText="1"/>
    </xf>
    <xf numFmtId="0" fontId="10" fillId="14"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vertical="center" wrapText="1"/>
    </xf>
    <xf numFmtId="164" fontId="0" fillId="5" borderId="1" xfId="1" applyNumberFormat="1" applyFont="1" applyFill="1" applyBorder="1" applyAlignment="1">
      <alignment vertical="center" wrapText="1"/>
    </xf>
    <xf numFmtId="0" fontId="35" fillId="5" borderId="1" xfId="0" applyFont="1" applyFill="1" applyBorder="1" applyAlignment="1">
      <alignment vertical="center" wrapText="1"/>
    </xf>
    <xf numFmtId="0" fontId="0" fillId="4" borderId="7" xfId="0" applyFill="1" applyBorder="1" applyAlignment="1">
      <alignment horizontal="left"/>
    </xf>
    <xf numFmtId="0" fontId="0" fillId="4" borderId="6" xfId="0" applyFill="1" applyBorder="1" applyAlignment="1">
      <alignment horizontal="left"/>
    </xf>
    <xf numFmtId="0" fontId="0" fillId="4" borderId="5" xfId="0" applyFill="1" applyBorder="1" applyAlignment="1">
      <alignment horizontal="left"/>
    </xf>
    <xf numFmtId="164" fontId="10" fillId="4" borderId="16" xfId="1" applyNumberFormat="1" applyFont="1" applyFill="1" applyBorder="1" applyAlignment="1">
      <alignment horizontal="center" vertical="center"/>
    </xf>
    <xf numFmtId="164" fontId="0" fillId="0" borderId="7" xfId="1" applyNumberFormat="1" applyFont="1" applyBorder="1" applyAlignment="1">
      <alignment horizontal="center" vertical="center" wrapText="1"/>
    </xf>
    <xf numFmtId="164" fontId="0" fillId="0" borderId="6" xfId="1" applyNumberFormat="1" applyFont="1" applyBorder="1" applyAlignment="1">
      <alignment horizontal="center" vertical="center" wrapText="1"/>
    </xf>
    <xf numFmtId="164" fontId="0" fillId="0" borderId="5" xfId="1" applyNumberFormat="1" applyFont="1" applyBorder="1" applyAlignment="1">
      <alignment horizontal="center" vertical="center" wrapText="1"/>
    </xf>
    <xf numFmtId="164" fontId="0" fillId="0" borderId="7" xfId="1" applyNumberFormat="1" applyFont="1" applyFill="1" applyBorder="1" applyAlignment="1">
      <alignment horizontal="center" vertical="center" wrapText="1"/>
    </xf>
    <xf numFmtId="164" fontId="0" fillId="0" borderId="6" xfId="1" applyNumberFormat="1" applyFont="1" applyFill="1" applyBorder="1" applyAlignment="1">
      <alignment horizontal="center" vertical="center" wrapText="1"/>
    </xf>
    <xf numFmtId="164" fontId="0" fillId="0" borderId="5" xfId="1" applyNumberFormat="1" applyFont="1" applyFill="1" applyBorder="1" applyAlignment="1">
      <alignment horizontal="center" vertical="center" wrapText="1"/>
    </xf>
    <xf numFmtId="164" fontId="0" fillId="0" borderId="8" xfId="1" applyNumberFormat="1" applyFont="1" applyBorder="1" applyAlignment="1">
      <alignment horizontal="center" vertical="center" wrapText="1"/>
    </xf>
    <xf numFmtId="164" fontId="0" fillId="0" borderId="14" xfId="1" applyNumberFormat="1" applyFont="1" applyBorder="1" applyAlignment="1">
      <alignment horizontal="center" vertical="center" wrapText="1"/>
    </xf>
    <xf numFmtId="164" fontId="0" fillId="0" borderId="13" xfId="1" applyNumberFormat="1" applyFont="1" applyBorder="1" applyAlignment="1">
      <alignment horizontal="center" vertical="center" wrapText="1"/>
    </xf>
    <xf numFmtId="0" fontId="114" fillId="21" borderId="106" xfId="0" applyFont="1" applyFill="1" applyBorder="1" applyAlignment="1">
      <alignment horizontal="center" vertical="center" wrapText="1"/>
    </xf>
    <xf numFmtId="0" fontId="114" fillId="21" borderId="107" xfId="0" applyFont="1" applyFill="1" applyBorder="1" applyAlignment="1">
      <alignment horizontal="center" vertical="center" wrapText="1"/>
    </xf>
    <xf numFmtId="0" fontId="114" fillId="21" borderId="108" xfId="0" applyFont="1" applyFill="1" applyBorder="1" applyAlignment="1">
      <alignment horizontal="left" vertical="center" wrapText="1"/>
    </xf>
    <xf numFmtId="0" fontId="114" fillId="21" borderId="109" xfId="0" applyFont="1" applyFill="1" applyBorder="1" applyAlignment="1">
      <alignment horizontal="left" vertical="center" wrapText="1"/>
    </xf>
    <xf numFmtId="0" fontId="114" fillId="21" borderId="110" xfId="0" applyFont="1" applyFill="1" applyBorder="1" applyAlignment="1">
      <alignment horizontal="left" vertical="center" wrapText="1"/>
    </xf>
    <xf numFmtId="0" fontId="114" fillId="21" borderId="111" xfId="0" applyFont="1" applyFill="1" applyBorder="1" applyAlignment="1">
      <alignment horizontal="left" vertical="center" wrapText="1"/>
    </xf>
    <xf numFmtId="0" fontId="114" fillId="21" borderId="66" xfId="0" applyFont="1" applyFill="1" applyBorder="1" applyAlignment="1">
      <alignment horizontal="center" vertical="center" wrapText="1"/>
    </xf>
    <xf numFmtId="0" fontId="114" fillId="21" borderId="75" xfId="0" applyFont="1" applyFill="1" applyBorder="1" applyAlignment="1">
      <alignment horizontal="center" vertical="center" wrapText="1"/>
    </xf>
    <xf numFmtId="0" fontId="114" fillId="21" borderId="65" xfId="0" applyFont="1" applyFill="1" applyBorder="1" applyAlignment="1">
      <alignment horizontal="center" vertical="center" wrapText="1"/>
    </xf>
    <xf numFmtId="0" fontId="114" fillId="21" borderId="76" xfId="0" applyFont="1" applyFill="1" applyBorder="1" applyAlignment="1">
      <alignment horizontal="center" vertical="center"/>
    </xf>
    <xf numFmtId="0" fontId="114" fillId="21" borderId="77" xfId="0" applyFont="1" applyFill="1" applyBorder="1" applyAlignment="1">
      <alignment horizontal="center" vertical="center"/>
    </xf>
    <xf numFmtId="0" fontId="3" fillId="13" borderId="7" xfId="0" applyFont="1" applyFill="1" applyBorder="1" applyAlignment="1">
      <alignment horizontal="left" vertical="center"/>
    </xf>
    <xf numFmtId="0" fontId="3" fillId="13" borderId="6" xfId="0" applyFont="1" applyFill="1" applyBorder="1" applyAlignment="1">
      <alignment horizontal="left" vertical="center"/>
    </xf>
    <xf numFmtId="0" fontId="3" fillId="13" borderId="5" xfId="0" applyFont="1" applyFill="1" applyBorder="1" applyAlignment="1">
      <alignment horizontal="left" vertical="center"/>
    </xf>
    <xf numFmtId="0" fontId="116" fillId="21" borderId="0" xfId="0" applyFont="1" applyFill="1" applyAlignment="1">
      <alignment horizontal="left" vertical="center" wrapText="1"/>
    </xf>
    <xf numFmtId="0" fontId="116" fillId="21" borderId="80" xfId="0" applyFont="1" applyFill="1" applyBorder="1" applyAlignment="1">
      <alignment horizontal="left" vertical="center" wrapText="1"/>
    </xf>
    <xf numFmtId="0" fontId="119" fillId="21" borderId="78" xfId="0" applyFont="1" applyFill="1" applyBorder="1" applyAlignment="1">
      <alignment horizontal="center" vertical="center" wrapText="1"/>
    </xf>
    <xf numFmtId="0" fontId="119" fillId="21" borderId="79" xfId="0" applyFont="1" applyFill="1" applyBorder="1" applyAlignment="1">
      <alignment horizontal="center" vertical="center" wrapText="1"/>
    </xf>
    <xf numFmtId="0" fontId="114" fillId="21" borderId="59" xfId="0" applyFont="1" applyFill="1" applyBorder="1" applyAlignment="1">
      <alignment horizontal="center"/>
    </xf>
    <xf numFmtId="0" fontId="114" fillId="21" borderId="64" xfId="0" applyFont="1" applyFill="1" applyBorder="1" applyAlignment="1">
      <alignment horizontal="left" vertical="center" wrapText="1"/>
    </xf>
    <xf numFmtId="0" fontId="117" fillId="21" borderId="59" xfId="0" applyFont="1" applyFill="1" applyBorder="1" applyAlignment="1">
      <alignment horizontal="center" vertical="center" wrapText="1"/>
    </xf>
    <xf numFmtId="0" fontId="117" fillId="21" borderId="76" xfId="0" applyFont="1" applyFill="1" applyBorder="1" applyAlignment="1">
      <alignment horizontal="center" vertical="center" wrapText="1"/>
    </xf>
    <xf numFmtId="0" fontId="117" fillId="21" borderId="84" xfId="0" applyFont="1" applyFill="1" applyBorder="1" applyAlignment="1">
      <alignment horizontal="center" vertical="center" wrapText="1"/>
    </xf>
    <xf numFmtId="0" fontId="117" fillId="21" borderId="0" xfId="0" applyFont="1" applyFill="1" applyBorder="1" applyAlignment="1">
      <alignment horizontal="center" vertical="center" wrapText="1"/>
    </xf>
    <xf numFmtId="0" fontId="117" fillId="21" borderId="83" xfId="0" applyFont="1" applyFill="1" applyBorder="1" applyAlignment="1">
      <alignment horizontal="center" vertical="center" wrapText="1"/>
    </xf>
    <xf numFmtId="0" fontId="117" fillId="21" borderId="86" xfId="0" applyFont="1" applyFill="1" applyBorder="1" applyAlignment="1">
      <alignment horizontal="center" vertical="center" wrapText="1"/>
    </xf>
    <xf numFmtId="0" fontId="117" fillId="21" borderId="62" xfId="0" applyFont="1" applyFill="1" applyBorder="1" applyAlignment="1">
      <alignment horizontal="center" vertical="center" wrapText="1"/>
    </xf>
    <xf numFmtId="0" fontId="117" fillId="21" borderId="66" xfId="0" applyFont="1" applyFill="1" applyBorder="1" applyAlignment="1">
      <alignment horizontal="center" vertical="center" wrapText="1"/>
    </xf>
    <xf numFmtId="0" fontId="117" fillId="21" borderId="75" xfId="0" applyFont="1" applyFill="1" applyBorder="1" applyAlignment="1">
      <alignment horizontal="center" vertical="center" wrapText="1"/>
    </xf>
    <xf numFmtId="0" fontId="117" fillId="21" borderId="65" xfId="0" applyFont="1" applyFill="1" applyBorder="1" applyAlignment="1">
      <alignment horizontal="center" vertical="center" wrapText="1"/>
    </xf>
    <xf numFmtId="0" fontId="117" fillId="21" borderId="72" xfId="0" applyFont="1" applyFill="1" applyBorder="1" applyAlignment="1">
      <alignment horizontal="center" vertical="center" wrapText="1"/>
    </xf>
    <xf numFmtId="0" fontId="117" fillId="21" borderId="88" xfId="0" applyFont="1" applyFill="1" applyBorder="1" applyAlignment="1">
      <alignment horizontal="center" vertical="center" wrapText="1"/>
    </xf>
    <xf numFmtId="0" fontId="117" fillId="21" borderId="73" xfId="0" applyFont="1" applyFill="1" applyBorder="1" applyAlignment="1">
      <alignment horizontal="center" vertical="center" wrapText="1"/>
    </xf>
    <xf numFmtId="0" fontId="43" fillId="21" borderId="0" xfId="0" applyFont="1" applyFill="1" applyAlignment="1">
      <alignment vertical="center" wrapText="1"/>
    </xf>
    <xf numFmtId="0" fontId="43" fillId="21" borderId="0" xfId="0" applyFont="1" applyFill="1" applyBorder="1" applyAlignment="1">
      <alignment vertical="center" wrapText="1"/>
    </xf>
    <xf numFmtId="0" fontId="117" fillId="21" borderId="90" xfId="0" applyFont="1" applyFill="1" applyBorder="1" applyAlignment="1">
      <alignment horizontal="center" vertical="center" wrapText="1"/>
    </xf>
    <xf numFmtId="0" fontId="43" fillId="0" borderId="0" xfId="0" applyFont="1" applyBorder="1"/>
    <xf numFmtId="0" fontId="119" fillId="21" borderId="0" xfId="0" applyFont="1" applyFill="1" applyBorder="1" applyAlignment="1">
      <alignment horizontal="center" vertical="center" wrapText="1"/>
    </xf>
    <xf numFmtId="0" fontId="119" fillId="21" borderId="76" xfId="0" applyFont="1" applyFill="1" applyBorder="1" applyAlignment="1">
      <alignment horizontal="center" vertical="center" wrapText="1"/>
    </xf>
    <xf numFmtId="0" fontId="119" fillId="21" borderId="84" xfId="0" applyFont="1" applyFill="1" applyBorder="1" applyAlignment="1">
      <alignment horizontal="center" vertical="center" wrapText="1"/>
    </xf>
    <xf numFmtId="0" fontId="119" fillId="21" borderId="77" xfId="0" applyFont="1" applyFill="1" applyBorder="1" applyAlignment="1">
      <alignment horizontal="center" vertical="center" wrapText="1"/>
    </xf>
    <xf numFmtId="0" fontId="119" fillId="21" borderId="72" xfId="0" applyFont="1" applyFill="1" applyBorder="1" applyAlignment="1">
      <alignment horizontal="center" vertical="center" wrapText="1"/>
    </xf>
    <xf numFmtId="0" fontId="119" fillId="21" borderId="73" xfId="0" applyFont="1" applyFill="1" applyBorder="1" applyAlignment="1">
      <alignment horizontal="center" vertical="center" wrapText="1"/>
    </xf>
    <xf numFmtId="0" fontId="116" fillId="21" borderId="84" xfId="0" applyFont="1" applyFill="1" applyBorder="1" applyAlignment="1">
      <alignment vertical="center" wrapText="1"/>
    </xf>
    <xf numFmtId="0" fontId="116" fillId="21" borderId="77" xfId="0" applyFont="1" applyFill="1" applyBorder="1" applyAlignment="1">
      <alignment vertical="center" wrapText="1"/>
    </xf>
    <xf numFmtId="0" fontId="116" fillId="21" borderId="0" xfId="0" applyFont="1" applyFill="1" applyBorder="1" applyAlignment="1">
      <alignment vertical="center" wrapText="1"/>
    </xf>
    <xf numFmtId="0" fontId="116" fillId="21" borderId="89" xfId="0" applyFont="1" applyFill="1" applyBorder="1" applyAlignment="1">
      <alignment vertical="center" wrapText="1"/>
    </xf>
    <xf numFmtId="0" fontId="113" fillId="21" borderId="60" xfId="0" applyFont="1" applyFill="1" applyBorder="1" applyAlignment="1">
      <alignment horizontal="center" vertical="center" wrapText="1"/>
    </xf>
    <xf numFmtId="0" fontId="113" fillId="21" borderId="98" xfId="0" applyFont="1" applyFill="1" applyBorder="1" applyAlignment="1">
      <alignment horizontal="center" vertical="center" wrapText="1"/>
    </xf>
    <xf numFmtId="0" fontId="113" fillId="21" borderId="61" xfId="0" applyFont="1" applyFill="1" applyBorder="1" applyAlignment="1">
      <alignment horizontal="center" vertical="center" wrapText="1"/>
    </xf>
    <xf numFmtId="0" fontId="113" fillId="21" borderId="59" xfId="0" applyFont="1" applyFill="1" applyBorder="1" applyAlignment="1">
      <alignment horizontal="center" vertical="center" wrapText="1"/>
    </xf>
    <xf numFmtId="0" fontId="113" fillId="21" borderId="66" xfId="0" applyFont="1" applyFill="1" applyBorder="1" applyAlignment="1">
      <alignment horizontal="center" vertical="center" wrapText="1"/>
    </xf>
    <xf numFmtId="0" fontId="113" fillId="21" borderId="75" xfId="0" applyFont="1" applyFill="1" applyBorder="1" applyAlignment="1">
      <alignment horizontal="center" vertical="center" wrapText="1"/>
    </xf>
    <xf numFmtId="0" fontId="113" fillId="21" borderId="65" xfId="0" applyFont="1" applyFill="1" applyBorder="1" applyAlignment="1">
      <alignment horizontal="center" vertical="center" wrapText="1"/>
    </xf>
    <xf numFmtId="9" fontId="113" fillId="21" borderId="59" xfId="0" applyNumberFormat="1" applyFont="1" applyFill="1" applyBorder="1" applyAlignment="1">
      <alignment horizontal="center" vertical="center" wrapText="1"/>
    </xf>
    <xf numFmtId="0" fontId="13" fillId="21" borderId="0" xfId="0" applyFont="1" applyFill="1" applyAlignment="1">
      <alignment vertical="center" wrapText="1"/>
    </xf>
    <xf numFmtId="0" fontId="123" fillId="21" borderId="59" xfId="0" applyFont="1" applyFill="1" applyBorder="1" applyAlignment="1">
      <alignment horizontal="center" vertical="center" wrapText="1"/>
    </xf>
    <xf numFmtId="0" fontId="123" fillId="21" borderId="76" xfId="0" applyFont="1" applyFill="1" applyBorder="1" applyAlignment="1">
      <alignment horizontal="center" vertical="center" wrapText="1"/>
    </xf>
    <xf numFmtId="0" fontId="114" fillId="21" borderId="60" xfId="0" applyFont="1" applyFill="1" applyBorder="1" applyAlignment="1">
      <alignment horizontal="center" vertical="center"/>
    </xf>
    <xf numFmtId="0" fontId="114" fillId="21" borderId="98" xfId="0" applyFont="1" applyFill="1" applyBorder="1" applyAlignment="1">
      <alignment horizontal="center" vertical="center"/>
    </xf>
    <xf numFmtId="0" fontId="114" fillId="21" borderId="61" xfId="0" applyFont="1" applyFill="1" applyBorder="1" applyAlignment="1">
      <alignment horizontal="center" vertical="center"/>
    </xf>
    <xf numFmtId="0" fontId="114" fillId="21" borderId="93" xfId="0" applyFont="1" applyFill="1" applyBorder="1" applyAlignment="1">
      <alignment horizontal="center" vertical="center" wrapText="1"/>
    </xf>
    <xf numFmtId="0" fontId="114" fillId="21" borderId="100" xfId="0" applyFont="1" applyFill="1" applyBorder="1" applyAlignment="1">
      <alignment horizontal="center" vertical="center" wrapText="1"/>
    </xf>
    <xf numFmtId="0" fontId="114" fillId="21" borderId="101" xfId="0" applyFont="1" applyFill="1" applyBorder="1" applyAlignment="1">
      <alignment horizontal="center" vertical="center" wrapText="1"/>
    </xf>
    <xf numFmtId="0" fontId="114" fillId="21" borderId="112" xfId="0" applyFont="1" applyFill="1" applyBorder="1" applyAlignment="1">
      <alignment horizontal="left" vertical="center" wrapText="1"/>
    </xf>
    <xf numFmtId="0" fontId="114" fillId="21" borderId="67" xfId="7" applyFont="1" applyFill="1" applyBorder="1" applyAlignment="1">
      <alignment horizontal="center" vertical="center" wrapText="1"/>
    </xf>
    <xf numFmtId="0" fontId="114" fillId="21" borderId="99" xfId="7" applyFont="1" applyFill="1" applyBorder="1" applyAlignment="1">
      <alignment horizontal="center" vertical="center" wrapText="1"/>
    </xf>
    <xf numFmtId="0" fontId="114" fillId="21" borderId="68" xfId="7" applyFont="1" applyFill="1" applyBorder="1" applyAlignment="1">
      <alignment horizontal="center" vertical="center" wrapText="1"/>
    </xf>
    <xf numFmtId="0" fontId="114" fillId="21" borderId="60" xfId="0" applyFont="1" applyFill="1" applyBorder="1" applyAlignment="1">
      <alignment horizontal="center" vertical="center" wrapText="1"/>
    </xf>
    <xf numFmtId="0" fontId="114" fillId="21" borderId="61" xfId="0" applyFont="1" applyFill="1" applyBorder="1" applyAlignment="1">
      <alignment horizontal="center" vertical="center" wrapText="1"/>
    </xf>
    <xf numFmtId="0" fontId="114" fillId="21" borderId="8" xfId="7" applyFont="1" applyFill="1" applyBorder="1" applyAlignment="1">
      <alignment horizontal="center" vertical="center" wrapText="1"/>
    </xf>
    <xf numFmtId="0" fontId="114" fillId="21" borderId="34" xfId="7" applyFont="1" applyFill="1" applyBorder="1" applyAlignment="1">
      <alignment horizontal="center" vertical="center" wrapText="1"/>
    </xf>
    <xf numFmtId="0" fontId="114" fillId="21" borderId="15" xfId="7" applyFont="1" applyFill="1" applyBorder="1" applyAlignment="1">
      <alignment horizontal="center" vertical="center" wrapText="1"/>
    </xf>
    <xf numFmtId="0" fontId="114" fillId="21" borderId="10" xfId="7" applyFont="1" applyFill="1" applyBorder="1" applyAlignment="1">
      <alignment horizontal="center" vertical="center" wrapText="1"/>
    </xf>
    <xf numFmtId="0" fontId="114" fillId="21" borderId="11" xfId="7" applyFont="1" applyFill="1" applyBorder="1" applyAlignment="1">
      <alignment horizontal="center" vertical="center" wrapText="1"/>
    </xf>
    <xf numFmtId="0" fontId="114" fillId="21" borderId="9" xfId="7" applyFont="1" applyFill="1" applyBorder="1" applyAlignment="1">
      <alignment horizontal="center" vertical="center" wrapText="1"/>
    </xf>
    <xf numFmtId="0" fontId="114" fillId="21" borderId="1" xfId="0" applyFont="1" applyFill="1" applyBorder="1" applyAlignment="1">
      <alignment horizontal="left" vertical="center"/>
    </xf>
    <xf numFmtId="0" fontId="114" fillId="21" borderId="7" xfId="0" applyFont="1" applyFill="1" applyBorder="1" applyAlignment="1">
      <alignment horizontal="left" vertic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wrapText="1"/>
    </xf>
    <xf numFmtId="167" fontId="5" fillId="0" borderId="7" xfId="1" applyNumberFormat="1" applyFont="1" applyBorder="1" applyAlignment="1">
      <alignment horizontal="center" wrapText="1"/>
    </xf>
    <xf numFmtId="167" fontId="5" fillId="0" borderId="5" xfId="1" applyNumberFormat="1" applyFont="1" applyBorder="1" applyAlignment="1">
      <alignment horizontal="center" wrapText="1"/>
    </xf>
    <xf numFmtId="0" fontId="128" fillId="21" borderId="78" xfId="8" applyFont="1" applyFill="1" applyBorder="1" applyAlignment="1">
      <alignment horizontal="center" vertical="center"/>
    </xf>
    <xf numFmtId="167" fontId="5" fillId="0" borderId="47" xfId="1" applyNumberFormat="1" applyFont="1" applyFill="1" applyBorder="1" applyAlignment="1">
      <alignment horizontal="center" wrapText="1"/>
    </xf>
    <xf numFmtId="167" fontId="5" fillId="0" borderId="48" xfId="1" applyNumberFormat="1" applyFont="1" applyFill="1" applyBorder="1" applyAlignment="1">
      <alignment horizontal="center" wrapText="1"/>
    </xf>
    <xf numFmtId="167" fontId="5" fillId="0" borderId="49" xfId="1" applyNumberFormat="1" applyFont="1" applyFill="1" applyBorder="1" applyAlignment="1">
      <alignment horizontal="center" wrapText="1"/>
    </xf>
    <xf numFmtId="167" fontId="5" fillId="0" borderId="50" xfId="1" applyNumberFormat="1" applyFont="1" applyFill="1" applyBorder="1" applyAlignment="1">
      <alignment horizontal="center" wrapText="1"/>
    </xf>
    <xf numFmtId="167" fontId="5" fillId="0" borderId="6" xfId="1" applyNumberFormat="1" applyFont="1" applyFill="1" applyBorder="1" applyAlignment="1">
      <alignment horizontal="center" wrapText="1"/>
    </xf>
    <xf numFmtId="167" fontId="5" fillId="0" borderId="5" xfId="1" applyNumberFormat="1" applyFont="1" applyFill="1" applyBorder="1" applyAlignment="1">
      <alignment horizontal="center" wrapText="1"/>
    </xf>
    <xf numFmtId="0" fontId="113" fillId="21" borderId="59" xfId="3" applyFont="1" applyFill="1" applyBorder="1" applyAlignment="1">
      <alignment horizontal="center" vertical="center" wrapText="1"/>
    </xf>
    <xf numFmtId="0" fontId="43" fillId="21" borderId="28" xfId="0" applyFont="1" applyFill="1" applyBorder="1"/>
    <xf numFmtId="0" fontId="43" fillId="0" borderId="0" xfId="0" applyFont="1"/>
    <xf numFmtId="0" fontId="43" fillId="21" borderId="0" xfId="0" applyFont="1" applyFill="1"/>
    <xf numFmtId="0" fontId="117" fillId="21" borderId="74" xfId="0" applyFont="1" applyFill="1" applyBorder="1" applyAlignment="1">
      <alignment horizontal="center" vertical="center" wrapText="1"/>
    </xf>
    <xf numFmtId="0" fontId="117" fillId="21" borderId="70" xfId="0" applyFont="1" applyFill="1" applyBorder="1" applyAlignment="1">
      <alignment horizontal="center" vertical="center" wrapText="1"/>
    </xf>
    <xf numFmtId="0" fontId="116" fillId="21" borderId="0" xfId="0" applyFont="1" applyFill="1"/>
    <xf numFmtId="0" fontId="19" fillId="5" borderId="1" xfId="0" applyFont="1" applyFill="1" applyBorder="1" applyAlignment="1">
      <alignment horizontal="left" vertical="center" wrapText="1" indent="2"/>
    </xf>
    <xf numFmtId="0" fontId="83" fillId="0" borderId="1" xfId="0" applyFont="1" applyBorder="1" applyAlignment="1">
      <alignment vertical="center" wrapText="1"/>
    </xf>
    <xf numFmtId="0" fontId="0" fillId="0" borderId="35" xfId="0" applyFont="1" applyBorder="1" applyAlignment="1">
      <alignment vertical="center" wrapText="1"/>
    </xf>
    <xf numFmtId="0" fontId="0" fillId="0" borderId="1" xfId="0" applyFont="1" applyBorder="1" applyAlignment="1">
      <alignment vertical="center" wrapText="1"/>
    </xf>
    <xf numFmtId="0" fontId="126" fillId="21" borderId="59" xfId="0" applyFont="1" applyFill="1" applyBorder="1" applyAlignment="1">
      <alignment horizontal="center" vertical="center" wrapText="1"/>
    </xf>
    <xf numFmtId="0" fontId="126" fillId="21" borderId="60" xfId="0" applyFont="1" applyFill="1" applyBorder="1" applyAlignment="1">
      <alignment vertical="center" wrapText="1"/>
    </xf>
    <xf numFmtId="0" fontId="126" fillId="21" borderId="61" xfId="0" applyFont="1" applyFill="1" applyBorder="1" applyAlignment="1">
      <alignmen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14" fillId="21" borderId="67" xfId="0" applyFont="1" applyFill="1" applyBorder="1" applyAlignment="1">
      <alignment horizontal="center"/>
    </xf>
    <xf numFmtId="0" fontId="114" fillId="21" borderId="99" xfId="0" applyFont="1" applyFill="1" applyBorder="1" applyAlignment="1">
      <alignment horizontal="center"/>
    </xf>
    <xf numFmtId="0" fontId="114" fillId="21" borderId="68" xfId="0" applyFont="1" applyFill="1" applyBorder="1" applyAlignment="1">
      <alignment horizontal="center"/>
    </xf>
    <xf numFmtId="0" fontId="114" fillId="21" borderId="66" xfId="0" applyFont="1" applyFill="1" applyBorder="1" applyAlignment="1">
      <alignment horizontal="center"/>
    </xf>
    <xf numFmtId="0" fontId="114" fillId="21" borderId="75" xfId="0" applyFont="1" applyFill="1" applyBorder="1" applyAlignment="1">
      <alignment horizontal="center"/>
    </xf>
    <xf numFmtId="0" fontId="114" fillId="21" borderId="65" xfId="0" applyFont="1" applyFill="1" applyBorder="1" applyAlignment="1">
      <alignment horizontal="center"/>
    </xf>
    <xf numFmtId="0" fontId="114" fillId="21" borderId="4" xfId="0" applyFont="1" applyFill="1" applyBorder="1" applyAlignment="1">
      <alignment horizontal="center"/>
    </xf>
    <xf numFmtId="0" fontId="114" fillId="21" borderId="34" xfId="0" applyFont="1" applyFill="1" applyBorder="1" applyAlignment="1">
      <alignment horizontal="center"/>
    </xf>
    <xf numFmtId="0" fontId="114" fillId="21" borderId="84" xfId="0" applyFont="1" applyFill="1" applyBorder="1" applyAlignment="1">
      <alignment horizontal="center" vertical="center"/>
    </xf>
    <xf numFmtId="0" fontId="114" fillId="21" borderId="72" xfId="0" applyFont="1" applyFill="1" applyBorder="1" applyAlignment="1">
      <alignment horizontal="center"/>
    </xf>
    <xf numFmtId="0" fontId="114" fillId="21" borderId="73" xfId="0" applyFont="1" applyFill="1" applyBorder="1" applyAlignment="1">
      <alignment horizontal="center"/>
    </xf>
    <xf numFmtId="0" fontId="114" fillId="21" borderId="0" xfId="0" applyFont="1" applyFill="1" applyBorder="1" applyAlignment="1">
      <alignment horizontal="center"/>
    </xf>
    <xf numFmtId="0" fontId="114" fillId="21" borderId="34" xfId="0" applyFont="1" applyFill="1" applyBorder="1" applyAlignment="1">
      <alignment horizontal="center" vertical="center"/>
    </xf>
    <xf numFmtId="0" fontId="114" fillId="21" borderId="3" xfId="0" applyFont="1" applyFill="1" applyBorder="1" applyAlignment="1">
      <alignment horizontal="center" vertical="center"/>
    </xf>
    <xf numFmtId="0" fontId="114" fillId="21" borderId="72" xfId="0" applyFont="1" applyFill="1" applyBorder="1" applyAlignment="1">
      <alignment horizontal="center" vertical="center" wrapText="1"/>
    </xf>
    <xf numFmtId="0" fontId="114" fillId="21" borderId="74" xfId="0" applyFont="1" applyFill="1" applyBorder="1" applyAlignment="1">
      <alignment horizontal="center" vertical="center" wrapText="1"/>
    </xf>
    <xf numFmtId="0" fontId="114" fillId="21" borderId="72" xfId="0" applyFont="1" applyFill="1" applyBorder="1" applyAlignment="1">
      <alignment horizontal="center" vertical="center"/>
    </xf>
    <xf numFmtId="0" fontId="114" fillId="21" borderId="74" xfId="0" applyFont="1" applyFill="1" applyBorder="1" applyAlignment="1">
      <alignment horizontal="center" vertical="center"/>
    </xf>
    <xf numFmtId="0" fontId="5" fillId="0" borderId="1" xfId="0" applyFont="1" applyBorder="1" applyAlignment="1">
      <alignment horizontal="left"/>
    </xf>
    <xf numFmtId="0" fontId="114" fillId="21" borderId="59" xfId="0" applyFont="1" applyFill="1" applyBorder="1" applyAlignment="1">
      <alignment horizontal="center" wrapText="1"/>
    </xf>
    <xf numFmtId="0" fontId="6" fillId="0" borderId="1" xfId="0" applyFont="1" applyBorder="1" applyAlignment="1">
      <alignment horizontal="left"/>
    </xf>
    <xf numFmtId="0" fontId="5" fillId="0" borderId="1" xfId="0" applyFont="1" applyBorder="1" applyAlignment="1">
      <alignment horizontal="left" indent="1"/>
    </xf>
    <xf numFmtId="0" fontId="114" fillId="21" borderId="11" xfId="0" applyFont="1" applyFill="1" applyBorder="1" applyAlignment="1">
      <alignment horizontal="center"/>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21" borderId="7" xfId="0" applyFont="1" applyFill="1" applyBorder="1" applyAlignment="1">
      <alignment horizontal="left"/>
    </xf>
    <xf numFmtId="0" fontId="5" fillId="21" borderId="6" xfId="0" applyFont="1" applyFill="1" applyBorder="1" applyAlignment="1">
      <alignment horizontal="left"/>
    </xf>
    <xf numFmtId="0" fontId="5"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indent="2"/>
    </xf>
    <xf numFmtId="0" fontId="5" fillId="0" borderId="5" xfId="0" applyFont="1" applyBorder="1" applyAlignment="1">
      <alignment horizontal="left" vertical="center" wrapText="1" indent="2"/>
    </xf>
    <xf numFmtId="0" fontId="5" fillId="0" borderId="0" xfId="0" applyFont="1" applyAlignment="1">
      <alignment horizontal="left"/>
    </xf>
    <xf numFmtId="0" fontId="113" fillId="21" borderId="72" xfId="3" applyFont="1" applyFill="1" applyBorder="1" applyAlignment="1">
      <alignment horizontal="center" vertical="center" wrapText="1"/>
    </xf>
    <xf numFmtId="0" fontId="113" fillId="21" borderId="73" xfId="3" applyFont="1" applyFill="1" applyBorder="1" applyAlignment="1">
      <alignment horizontal="center" vertical="center" wrapText="1"/>
    </xf>
    <xf numFmtId="0" fontId="113" fillId="21" borderId="90" xfId="3" applyFont="1" applyFill="1" applyBorder="1" applyAlignment="1">
      <alignment horizontal="center" vertical="center" wrapText="1"/>
    </xf>
    <xf numFmtId="0" fontId="113" fillId="21" borderId="63" xfId="3" applyFont="1" applyFill="1" applyBorder="1" applyAlignment="1">
      <alignment horizontal="center" vertical="center" wrapText="1"/>
    </xf>
    <xf numFmtId="0" fontId="113" fillId="21" borderId="66" xfId="3" applyFont="1" applyFill="1" applyBorder="1" applyAlignment="1">
      <alignment horizontal="center" vertical="center" wrapText="1"/>
    </xf>
    <xf numFmtId="0" fontId="113" fillId="21" borderId="0" xfId="3"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3" fillId="7" borderId="7"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4"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46" fillId="0" borderId="24" xfId="0" applyFont="1" applyBorder="1" applyAlignment="1">
      <alignment horizontal="center" vertical="center" wrapText="1"/>
    </xf>
    <xf numFmtId="0" fontId="46" fillId="0" borderId="26" xfId="0" applyFont="1" applyBorder="1" applyAlignment="1">
      <alignment horizontal="center" vertical="center" wrapText="1"/>
    </xf>
    <xf numFmtId="0" fontId="57" fillId="0" borderId="0" xfId="0" applyFont="1" applyAlignment="1">
      <alignment horizontal="justify" vertical="center" wrapText="1"/>
    </xf>
    <xf numFmtId="164" fontId="50" fillId="7" borderId="17" xfId="1" applyNumberFormat="1" applyFont="1" applyFill="1" applyBorder="1" applyAlignment="1">
      <alignment horizontal="center" vertical="center"/>
    </xf>
    <xf numFmtId="164" fontId="50" fillId="7" borderId="19" xfId="1" applyNumberFormat="1" applyFont="1" applyFill="1" applyBorder="1" applyAlignment="1">
      <alignment horizontal="center" vertical="center"/>
    </xf>
    <xf numFmtId="0" fontId="43" fillId="0" borderId="28" xfId="0" applyFont="1" applyBorder="1"/>
    <xf numFmtId="0" fontId="46" fillId="0" borderId="17"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30"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32"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24" xfId="0" applyFont="1" applyBorder="1" applyAlignment="1">
      <alignment horizontal="center" vertical="top" wrapText="1"/>
    </xf>
    <xf numFmtId="0" fontId="46" fillId="0" borderId="32" xfId="0" applyFont="1" applyBorder="1" applyAlignment="1">
      <alignment horizontal="center" vertical="top" wrapText="1"/>
    </xf>
    <xf numFmtId="0" fontId="46" fillId="0" borderId="26" xfId="0" applyFont="1" applyBorder="1" applyAlignment="1">
      <alignment horizontal="center" vertical="top" wrapText="1"/>
    </xf>
    <xf numFmtId="0" fontId="43" fillId="0" borderId="32" xfId="0" applyFont="1" applyBorder="1" applyAlignment="1">
      <alignment vertical="center" wrapText="1"/>
    </xf>
    <xf numFmtId="0" fontId="43" fillId="0" borderId="26" xfId="0" applyFont="1" applyBorder="1" applyAlignment="1">
      <alignment vertical="center" wrapText="1"/>
    </xf>
    <xf numFmtId="0" fontId="46" fillId="0" borderId="32" xfId="0" applyFont="1" applyBorder="1" applyAlignment="1">
      <alignment vertical="center" wrapText="1"/>
    </xf>
    <xf numFmtId="0" fontId="46" fillId="0" borderId="26" xfId="0" applyFont="1" applyBorder="1" applyAlignment="1">
      <alignment vertical="center" wrapText="1"/>
    </xf>
    <xf numFmtId="164" fontId="112" fillId="7" borderId="17" xfId="1" applyNumberFormat="1" applyFont="1" applyFill="1" applyBorder="1" applyAlignment="1">
      <alignment horizontal="center" vertical="center" wrapText="1"/>
    </xf>
    <xf numFmtId="164" fontId="112" fillId="7" borderId="19" xfId="1" applyNumberFormat="1" applyFont="1" applyFill="1" applyBorder="1" applyAlignment="1">
      <alignment horizontal="center" vertical="center" wrapText="1"/>
    </xf>
    <xf numFmtId="164" fontId="48" fillId="17" borderId="17" xfId="1" applyNumberFormat="1" applyFont="1" applyFill="1" applyBorder="1" applyAlignment="1">
      <alignment horizontal="center" vertical="center" wrapText="1"/>
    </xf>
    <xf numFmtId="164" fontId="48" fillId="17" borderId="19" xfId="1" applyNumberFormat="1" applyFont="1" applyFill="1" applyBorder="1" applyAlignment="1">
      <alignment horizontal="center" vertical="center" wrapText="1"/>
    </xf>
    <xf numFmtId="164" fontId="5" fillId="0" borderId="17" xfId="1" applyNumberFormat="1" applyFont="1" applyBorder="1" applyAlignment="1">
      <alignment horizontal="center" vertical="center"/>
    </xf>
    <xf numFmtId="164" fontId="5" fillId="0" borderId="19" xfId="1" applyNumberFormat="1" applyFont="1" applyBorder="1" applyAlignment="1">
      <alignment horizontal="center" vertical="center"/>
    </xf>
    <xf numFmtId="0" fontId="46" fillId="0" borderId="20" xfId="0" applyFont="1" applyBorder="1" applyAlignment="1">
      <alignment wrapText="1"/>
    </xf>
    <xf numFmtId="0" fontId="46" fillId="0" borderId="30" xfId="0" applyFont="1" applyBorder="1" applyAlignment="1">
      <alignment wrapText="1"/>
    </xf>
    <xf numFmtId="0" fontId="46" fillId="0" borderId="31" xfId="0" applyFont="1" applyBorder="1" applyAlignment="1">
      <alignment wrapText="1"/>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6" fillId="0" borderId="17"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xf>
    <xf numFmtId="0" fontId="16" fillId="0" borderId="30" xfId="0" applyFont="1" applyBorder="1" applyAlignment="1">
      <alignment horizontal="center" vertical="center"/>
    </xf>
    <xf numFmtId="0" fontId="16" fillId="0" borderId="21" xfId="0" applyFont="1" applyBorder="1" applyAlignment="1">
      <alignment horizontal="center" vertical="center"/>
    </xf>
    <xf numFmtId="0" fontId="16" fillId="0" borderId="33" xfId="0"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16" fillId="0" borderId="20" xfId="0" applyFont="1" applyBorder="1" applyAlignment="1">
      <alignment horizontal="left" vertical="center"/>
    </xf>
    <xf numFmtId="0" fontId="16" fillId="0" borderId="30" xfId="0" applyFont="1" applyBorder="1" applyAlignment="1">
      <alignment horizontal="left" vertical="center"/>
    </xf>
    <xf numFmtId="0" fontId="16" fillId="7" borderId="22" xfId="0" applyFont="1" applyFill="1" applyBorder="1" applyAlignment="1">
      <alignment vertical="center"/>
    </xf>
    <xf numFmtId="0" fontId="16" fillId="7" borderId="19" xfId="0" applyFont="1" applyFill="1" applyBorder="1" applyAlignment="1">
      <alignment vertical="center"/>
    </xf>
    <xf numFmtId="0" fontId="16" fillId="7" borderId="33" xfId="0" applyFont="1" applyFill="1" applyBorder="1"/>
    <xf numFmtId="0" fontId="16" fillId="7" borderId="28" xfId="0" applyFont="1" applyFill="1" applyBorder="1"/>
    <xf numFmtId="0" fontId="16" fillId="7" borderId="27" xfId="0" applyFont="1" applyFill="1" applyBorder="1"/>
    <xf numFmtId="164" fontId="16" fillId="18" borderId="17" xfId="1" applyNumberFormat="1" applyFont="1" applyFill="1" applyBorder="1" applyAlignment="1">
      <alignment vertical="center" wrapText="1"/>
    </xf>
    <xf numFmtId="164" fontId="16" fillId="18" borderId="19" xfId="1" applyNumberFormat="1" applyFont="1" applyFill="1" applyBorder="1" applyAlignment="1">
      <alignment vertical="center" wrapText="1"/>
    </xf>
    <xf numFmtId="164" fontId="16" fillId="18" borderId="22" xfId="1" applyNumberFormat="1" applyFont="1" applyFill="1" applyBorder="1" applyAlignment="1">
      <alignment vertical="center" wrapText="1"/>
    </xf>
    <xf numFmtId="164" fontId="16" fillId="0" borderId="17" xfId="1" applyNumberFormat="1" applyFont="1" applyBorder="1" applyAlignment="1">
      <alignment vertical="center" wrapText="1"/>
    </xf>
    <xf numFmtId="164" fontId="16" fillId="0" borderId="19" xfId="1" applyNumberFormat="1" applyFont="1" applyBorder="1" applyAlignment="1">
      <alignment vertical="center" wrapText="1"/>
    </xf>
    <xf numFmtId="164" fontId="16" fillId="0" borderId="22" xfId="1" applyNumberFormat="1" applyFont="1" applyBorder="1" applyAlignment="1">
      <alignment vertical="center" wrapText="1"/>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5" fillId="7" borderId="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0" fillId="7" borderId="10" xfId="0" applyFill="1" applyBorder="1" applyAlignment="1">
      <alignment horizontal="center" vertical="center"/>
    </xf>
    <xf numFmtId="0" fontId="0" fillId="7" borderId="9" xfId="0" applyFill="1" applyBorder="1" applyAlignment="1">
      <alignment horizontal="center" vertical="center"/>
    </xf>
    <xf numFmtId="0" fontId="79" fillId="0" borderId="0" xfId="0" applyFont="1" applyAlignment="1">
      <alignment vertical="center" wrapText="1"/>
    </xf>
    <xf numFmtId="0" fontId="82" fillId="7" borderId="7" xfId="0" applyFont="1" applyFill="1" applyBorder="1" applyAlignment="1">
      <alignment horizontal="center" vertical="center" wrapText="1"/>
    </xf>
    <xf numFmtId="0" fontId="82" fillId="7" borderId="5" xfId="0" applyFont="1" applyFill="1" applyBorder="1" applyAlignment="1">
      <alignment horizontal="center" vertical="center" wrapText="1"/>
    </xf>
    <xf numFmtId="0" fontId="46" fillId="7" borderId="7" xfId="0" applyFont="1" applyFill="1" applyBorder="1" applyAlignment="1">
      <alignment horizontal="center" vertical="center" wrapText="1"/>
    </xf>
    <xf numFmtId="0" fontId="46" fillId="7" borderId="6" xfId="0" applyFont="1" applyFill="1" applyBorder="1" applyAlignment="1">
      <alignment horizontal="center" vertical="center" wrapText="1"/>
    </xf>
    <xf numFmtId="0" fontId="46" fillId="7" borderId="5" xfId="0" applyFont="1" applyFill="1" applyBorder="1" applyAlignment="1">
      <alignment horizontal="center" vertical="center" wrapText="1"/>
    </xf>
    <xf numFmtId="0" fontId="46" fillId="7" borderId="10" xfId="0" applyFont="1" applyFill="1" applyBorder="1" applyAlignment="1">
      <alignment horizontal="center" vertical="center" wrapText="1"/>
    </xf>
    <xf numFmtId="0" fontId="46" fillId="7" borderId="11" xfId="0" applyFont="1" applyFill="1" applyBorder="1" applyAlignment="1">
      <alignment horizontal="center" vertical="center" wrapText="1"/>
    </xf>
    <xf numFmtId="0" fontId="46" fillId="7" borderId="9" xfId="0" applyFont="1" applyFill="1" applyBorder="1" applyAlignment="1">
      <alignment horizontal="center" vertical="center" wrapText="1"/>
    </xf>
    <xf numFmtId="0" fontId="55" fillId="7" borderId="10" xfId="0" applyFont="1" applyFill="1" applyBorder="1" applyAlignment="1">
      <alignment horizontal="center" vertical="center" wrapText="1"/>
    </xf>
    <xf numFmtId="0" fontId="55" fillId="7" borderId="11" xfId="0" applyFont="1" applyFill="1" applyBorder="1" applyAlignment="1">
      <alignment horizontal="center" vertical="center" wrapText="1"/>
    </xf>
    <xf numFmtId="0" fontId="55" fillId="7" borderId="9"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0" fillId="7" borderId="8" xfId="0" applyFill="1" applyBorder="1" applyAlignment="1">
      <alignment horizontal="center" vertical="center"/>
    </xf>
    <xf numFmtId="0" fontId="0" fillId="7" borderId="13" xfId="0" applyFill="1" applyBorder="1" applyAlignment="1">
      <alignment horizontal="center" vertical="center"/>
    </xf>
    <xf numFmtId="0" fontId="0" fillId="7" borderId="34" xfId="0" applyFill="1" applyBorder="1" applyAlignment="1">
      <alignment horizontal="center" vertical="center"/>
    </xf>
    <xf numFmtId="0" fontId="0" fillId="7" borderId="4" xfId="0" applyFill="1" applyBorder="1" applyAlignment="1">
      <alignment horizontal="center" vertical="center"/>
    </xf>
    <xf numFmtId="0" fontId="0" fillId="7" borderId="15" xfId="0" applyFill="1" applyBorder="1" applyAlignment="1">
      <alignment horizontal="center" vertical="center"/>
    </xf>
    <xf numFmtId="0" fontId="0" fillId="7" borderId="2" xfId="0" applyFill="1" applyBorder="1" applyAlignment="1">
      <alignment horizontal="center" vertical="center"/>
    </xf>
    <xf numFmtId="0" fontId="82" fillId="7" borderId="6" xfId="0" applyFont="1" applyFill="1" applyBorder="1" applyAlignment="1">
      <alignment horizontal="center" vertical="center" wrapText="1"/>
    </xf>
    <xf numFmtId="0" fontId="46" fillId="0" borderId="8"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2"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45" fillId="0" borderId="10" xfId="0" applyFont="1" applyBorder="1" applyAlignment="1">
      <alignment horizontal="center" vertical="center" wrapText="1"/>
    </xf>
    <xf numFmtId="0" fontId="45" fillId="0" borderId="9"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wrapText="1"/>
    </xf>
    <xf numFmtId="0" fontId="3" fillId="0" borderId="9" xfId="0" applyFont="1" applyBorder="1" applyAlignment="1">
      <alignment horizontal="center" wrapText="1"/>
    </xf>
    <xf numFmtId="0" fontId="0" fillId="0" borderId="1" xfId="0" applyBorder="1" applyAlignment="1">
      <alignment horizontal="center"/>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3" fillId="7" borderId="4" xfId="0" applyFont="1" applyFill="1" applyBorder="1" applyAlignment="1">
      <alignment vertical="center" wrapText="1"/>
    </xf>
    <xf numFmtId="0" fontId="13" fillId="7" borderId="11" xfId="0" applyFont="1" applyFill="1" applyBorder="1" applyAlignment="1">
      <alignment vertical="center" wrapText="1"/>
    </xf>
    <xf numFmtId="0" fontId="13" fillId="7" borderId="2" xfId="0" applyFont="1" applyFill="1" applyBorder="1" applyAlignment="1">
      <alignment vertical="center" wrapText="1"/>
    </xf>
    <xf numFmtId="0" fontId="13" fillId="7" borderId="9" xfId="0" applyFont="1" applyFill="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2" xfId="0" applyFont="1" applyBorder="1" applyAlignment="1">
      <alignment vertical="center" wrapText="1"/>
    </xf>
    <xf numFmtId="0" fontId="13" fillId="0" borderId="9" xfId="0" applyFont="1" applyBorder="1" applyAlignment="1">
      <alignment vertical="center" wrapText="1"/>
    </xf>
    <xf numFmtId="0" fontId="20" fillId="6" borderId="1" xfId="0" applyFont="1" applyFill="1" applyBorder="1" applyAlignment="1">
      <alignment vertical="center" wrapText="1"/>
    </xf>
    <xf numFmtId="0" fontId="0" fillId="0" borderId="0" xfId="0" applyAlignment="1">
      <alignment horizontal="justify" vertical="top" wrapText="1"/>
    </xf>
    <xf numFmtId="0" fontId="44" fillId="0" borderId="0" xfId="0" applyFont="1" applyAlignment="1">
      <alignment vertical="top" wrapText="1"/>
    </xf>
  </cellXfs>
  <cellStyles count="14">
    <cellStyle name="=C:\WINNT35\SYSTEM32\COMMAND.COM" xfId="3" xr:uid="{5E33F4D7-6D19-4594-8B69-7C360E3495AF}"/>
    <cellStyle name="Heading 1 2" xfId="11" xr:uid="{FC3430E2-C0E1-46B3-9774-7E813C2757FC}"/>
    <cellStyle name="Heading 2 2" xfId="10" xr:uid="{1BDEADF1-E75E-47DB-A297-57FA24CB9F78}"/>
    <cellStyle name="HeadingTable" xfId="12" xr:uid="{1FF2DF08-125E-472E-B41C-3E172DD2E55D}"/>
    <cellStyle name="Komma" xfId="1" builtinId="3"/>
    <cellStyle name="Link" xfId="13" builtinId="8"/>
    <cellStyle name="Normal" xfId="0" builtinId="0"/>
    <cellStyle name="Normal 2" xfId="5" xr:uid="{B37DE214-4A64-4204-82F3-1A053AF10AC2}"/>
    <cellStyle name="Normal 2 2" xfId="6" xr:uid="{CD1D5805-B7B3-4083-98BF-1AD91B40ECD6}"/>
    <cellStyle name="Normal 4" xfId="8" xr:uid="{7C9B58A6-6E3B-4E35-AD12-933034EA8575}"/>
    <cellStyle name="Normal_20 OPR" xfId="7" xr:uid="{BA219162-5679-4261-9536-AB5FE8183003}"/>
    <cellStyle name="optionalExposure" xfId="4" xr:uid="{5DDCB00B-A22E-4B02-AC73-E6831E9407BE}"/>
    <cellStyle name="Procent" xfId="2" builtinId="5"/>
    <cellStyle name="Standard 3" xfId="9" xr:uid="{677BABF2-C4A7-432E-B9E8-7E7C8740063F}"/>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6210AF03-3362-4FB6-9A4D-7F7C718A60C3}"/>
            </a:ext>
          </a:extLst>
        </xdr:cNvPr>
        <xdr:cNvSpPr>
          <a:spLocks noChangeAspect="1" noChangeArrowheads="1"/>
        </xdr:cNvSpPr>
      </xdr:nvSpPr>
      <xdr:spPr bwMode="auto">
        <a:xfrm>
          <a:off x="3648075" y="37528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95250</xdr:rowOff>
    </xdr:from>
    <xdr:to>
      <xdr:col>8</xdr:col>
      <xdr:colOff>428625</xdr:colOff>
      <xdr:row>19</xdr:row>
      <xdr:rowOff>30480</xdr:rowOff>
    </xdr:to>
    <xdr:pic>
      <xdr:nvPicPr>
        <xdr:cNvPr id="2" name="Picture 2">
          <a:extLst>
            <a:ext uri="{FF2B5EF4-FFF2-40B4-BE49-F238E27FC236}">
              <a16:creationId xmlns:a16="http://schemas.microsoft.com/office/drawing/2014/main" id="{9F4E95FE-FD4F-48F0-936F-645768391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5350"/>
          <a:ext cx="6981825" cy="2792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ynskebank.dk/" TargetMode="External"/><Relationship Id="rId1" Type="http://schemas.openxmlformats.org/officeDocument/2006/relationships/hyperlink" Target="mailto:post@fynskebank.d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D446-E472-445F-8749-E999FE6DC5EF}">
  <dimension ref="B2:G32"/>
  <sheetViews>
    <sheetView showGridLines="0" tabSelected="1" zoomScaleNormal="100" workbookViewId="0">
      <selection activeCell="B2" sqref="B2"/>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769" t="s">
        <v>1244</v>
      </c>
      <c r="C2" s="769"/>
      <c r="D2" s="92"/>
    </row>
    <row r="3" spans="2:7" ht="8.25" customHeight="1" x14ac:dyDescent="0.3">
      <c r="B3" s="769"/>
      <c r="C3" s="769"/>
      <c r="D3" s="92"/>
    </row>
    <row r="4" spans="2:7" ht="15.75" x14ac:dyDescent="0.25">
      <c r="B4" s="770" t="s">
        <v>1473</v>
      </c>
      <c r="C4" s="770"/>
    </row>
    <row r="5" spans="2:7" ht="15.75" x14ac:dyDescent="0.25">
      <c r="B5" s="771" t="s">
        <v>1474</v>
      </c>
      <c r="C5" s="771"/>
      <c r="D5" s="772" t="s">
        <v>1489</v>
      </c>
    </row>
    <row r="6" spans="2:7" ht="15.75" x14ac:dyDescent="0.25">
      <c r="B6" s="771" t="s">
        <v>1475</v>
      </c>
      <c r="C6" s="771"/>
      <c r="D6" s="772">
        <v>6850</v>
      </c>
    </row>
    <row r="7" spans="2:7" ht="15.75" x14ac:dyDescent="0.25">
      <c r="B7" s="771" t="s">
        <v>1476</v>
      </c>
      <c r="C7" s="771"/>
      <c r="D7" s="772" t="s">
        <v>1490</v>
      </c>
    </row>
    <row r="8" spans="2:7" ht="15.75" x14ac:dyDescent="0.25">
      <c r="B8" s="771" t="s">
        <v>1477</v>
      </c>
      <c r="C8" s="771"/>
      <c r="D8" s="772" t="s">
        <v>1498</v>
      </c>
    </row>
    <row r="9" spans="2:7" ht="15.75" x14ac:dyDescent="0.25">
      <c r="B9" s="771" t="s">
        <v>1478</v>
      </c>
      <c r="C9" s="771"/>
      <c r="D9" s="772" t="s">
        <v>1491</v>
      </c>
    </row>
    <row r="10" spans="2:7" ht="15.75" x14ac:dyDescent="0.25">
      <c r="B10" s="771" t="s">
        <v>1479</v>
      </c>
      <c r="C10" s="771"/>
      <c r="D10" s="777" t="s">
        <v>1492</v>
      </c>
    </row>
    <row r="11" spans="2:7" ht="15.75" x14ac:dyDescent="0.25">
      <c r="B11" s="771" t="s">
        <v>1480</v>
      </c>
      <c r="C11" s="771"/>
      <c r="D11" s="777" t="s">
        <v>1493</v>
      </c>
    </row>
    <row r="12" spans="2:7" ht="15.75" x14ac:dyDescent="0.25">
      <c r="B12" s="771"/>
      <c r="C12" s="771"/>
      <c r="D12" s="772"/>
    </row>
    <row r="13" spans="2:7" ht="15.75" x14ac:dyDescent="0.25">
      <c r="B13" s="771"/>
      <c r="C13" s="771"/>
      <c r="D13" s="772"/>
    </row>
    <row r="14" spans="2:7" ht="18.75" x14ac:dyDescent="0.3">
      <c r="B14" s="92" t="s">
        <v>1481</v>
      </c>
      <c r="C14" s="92"/>
      <c r="D14" s="772"/>
    </row>
    <row r="15" spans="2:7" ht="104.25" customHeight="1" x14ac:dyDescent="0.25">
      <c r="B15" s="880" t="s">
        <v>1482</v>
      </c>
      <c r="C15" s="880"/>
      <c r="D15" s="880"/>
      <c r="E15" s="880"/>
      <c r="F15" s="880"/>
      <c r="G15" s="880"/>
    </row>
    <row r="16" spans="2:7" ht="46.5" customHeight="1" x14ac:dyDescent="0.25">
      <c r="B16" s="881" t="s">
        <v>1483</v>
      </c>
      <c r="C16" s="881"/>
      <c r="D16" s="882"/>
      <c r="E16" s="882"/>
      <c r="F16" s="882"/>
      <c r="G16" s="882"/>
    </row>
    <row r="17" spans="2:7" ht="15.75" x14ac:dyDescent="0.25">
      <c r="C17" s="773" t="s">
        <v>1484</v>
      </c>
      <c r="D17" s="772"/>
    </row>
    <row r="18" spans="2:7" ht="15.75" x14ac:dyDescent="0.25">
      <c r="C18" s="773" t="s">
        <v>1485</v>
      </c>
      <c r="D18" s="772"/>
    </row>
    <row r="19" spans="2:7" ht="9.75" customHeight="1" x14ac:dyDescent="0.25">
      <c r="C19" s="773"/>
      <c r="D19" s="772"/>
    </row>
    <row r="20" spans="2:7" ht="15.75" x14ac:dyDescent="0.25">
      <c r="B20" s="771" t="s">
        <v>1486</v>
      </c>
      <c r="C20" s="771"/>
      <c r="D20" s="772"/>
    </row>
    <row r="21" spans="2:7" ht="49.5" customHeight="1" x14ac:dyDescent="0.25">
      <c r="B21" s="774" t="s">
        <v>1487</v>
      </c>
      <c r="C21" s="883" t="s">
        <v>1504</v>
      </c>
      <c r="D21" s="883"/>
      <c r="E21" s="883"/>
      <c r="F21" s="883"/>
      <c r="G21" s="883"/>
    </row>
    <row r="22" spans="2:7" ht="66.75" customHeight="1" x14ac:dyDescent="0.25">
      <c r="B22" s="774" t="s">
        <v>1488</v>
      </c>
      <c r="C22" s="884" t="s">
        <v>1494</v>
      </c>
      <c r="D22" s="882"/>
      <c r="E22" s="882"/>
      <c r="F22" s="882"/>
      <c r="G22" s="882"/>
    </row>
    <row r="24" spans="2:7" ht="18.75" x14ac:dyDescent="0.3">
      <c r="B24" s="92"/>
      <c r="C24" s="92"/>
    </row>
    <row r="25" spans="2:7" ht="149.25" customHeight="1" x14ac:dyDescent="0.25">
      <c r="B25" s="885"/>
      <c r="C25" s="885"/>
      <c r="D25" s="886"/>
      <c r="E25" s="886"/>
      <c r="F25" s="886"/>
      <c r="G25" s="886"/>
    </row>
    <row r="26" spans="2:7" x14ac:dyDescent="0.25">
      <c r="B26" s="775"/>
      <c r="C26" s="775"/>
    </row>
    <row r="27" spans="2:7" x14ac:dyDescent="0.25">
      <c r="B27" s="776"/>
      <c r="C27" s="776"/>
    </row>
    <row r="28" spans="2:7" ht="15.75" x14ac:dyDescent="0.25">
      <c r="B28" s="771"/>
      <c r="C28" s="771"/>
    </row>
    <row r="29" spans="2:7" ht="15.75" x14ac:dyDescent="0.25">
      <c r="B29" s="771"/>
      <c r="C29" s="771"/>
    </row>
    <row r="30" spans="2:7" ht="15.75" x14ac:dyDescent="0.25">
      <c r="B30" s="771"/>
      <c r="C30" s="771"/>
    </row>
    <row r="31" spans="2:7" ht="15.75" x14ac:dyDescent="0.25">
      <c r="B31" s="771"/>
      <c r="C31" s="771"/>
    </row>
    <row r="32" spans="2:7" ht="15.75" x14ac:dyDescent="0.25">
      <c r="B32" s="771"/>
      <c r="C32" s="771"/>
    </row>
  </sheetData>
  <mergeCells count="5">
    <mergeCell ref="B15:G15"/>
    <mergeCell ref="B16:G16"/>
    <mergeCell ref="C21:G21"/>
    <mergeCell ref="C22:G22"/>
    <mergeCell ref="B25:G25"/>
  </mergeCells>
  <hyperlinks>
    <hyperlink ref="D10" r:id="rId1" xr:uid="{C8C378B2-F62A-41BA-9E90-93A3677896FC}"/>
    <hyperlink ref="D11" r:id="rId2" xr:uid="{235F57A4-5E63-4445-B783-D62306D3149D}"/>
  </hyperlinks>
  <pageMargins left="0.70866141732283472" right="0.70866141732283472" top="0.74803149606299213" bottom="0.74803149606299213" header="0.31496062992125984" footer="0.31496062992125984"/>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0953-8D0B-4A89-98F5-62524D2B9791}">
  <sheetPr>
    <pageSetUpPr fitToPage="1"/>
  </sheetPr>
  <dimension ref="B1:S45"/>
  <sheetViews>
    <sheetView showGridLines="0" zoomScaleNormal="100" zoomScalePageLayoutView="90" workbookViewId="0">
      <selection activeCell="B2" sqref="B2"/>
    </sheetView>
  </sheetViews>
  <sheetFormatPr defaultColWidth="9" defaultRowHeight="15" x14ac:dyDescent="0.25"/>
  <cols>
    <col min="3" max="3" width="53" customWidth="1"/>
    <col min="4" max="4" width="39.7109375" customWidth="1"/>
    <col min="5" max="5" width="20.42578125" customWidth="1"/>
  </cols>
  <sheetData>
    <row r="1" spans="2:19" ht="15.75" x14ac:dyDescent="0.25">
      <c r="C1" s="98"/>
    </row>
    <row r="2" spans="2:19" ht="18.75" x14ac:dyDescent="0.3">
      <c r="B2" s="422" t="s">
        <v>320</v>
      </c>
    </row>
    <row r="3" spans="2:19" ht="15" customHeight="1" x14ac:dyDescent="0.25">
      <c r="B3" s="949"/>
      <c r="C3" s="949"/>
      <c r="D3" s="949"/>
      <c r="E3" s="949"/>
      <c r="F3" s="99"/>
      <c r="G3" s="99"/>
      <c r="H3" s="99"/>
      <c r="I3" s="99"/>
      <c r="J3" s="99"/>
      <c r="K3" s="99"/>
      <c r="L3" s="99"/>
      <c r="M3" s="99"/>
      <c r="N3" s="99"/>
      <c r="O3" s="99"/>
      <c r="P3" s="99"/>
      <c r="Q3" s="99"/>
      <c r="R3" s="99"/>
      <c r="S3" s="99"/>
    </row>
    <row r="4" spans="2:19" x14ac:dyDescent="0.25">
      <c r="B4" s="949"/>
      <c r="C4" s="949"/>
      <c r="D4" s="949"/>
      <c r="E4" s="949"/>
      <c r="F4" s="99"/>
      <c r="G4" s="99"/>
      <c r="H4" s="99"/>
      <c r="I4" s="99"/>
      <c r="J4" s="99"/>
      <c r="K4" s="99"/>
      <c r="L4" s="99"/>
      <c r="M4" s="99"/>
      <c r="N4" s="99"/>
      <c r="O4" s="99"/>
      <c r="P4" s="99"/>
      <c r="Q4" s="99"/>
      <c r="R4" s="99"/>
      <c r="S4" s="99"/>
    </row>
    <row r="5" spans="2:19" x14ac:dyDescent="0.25">
      <c r="B5" s="955" t="s">
        <v>1431</v>
      </c>
      <c r="C5" s="956"/>
      <c r="D5" s="483" t="s">
        <v>105</v>
      </c>
      <c r="E5" s="470" t="s">
        <v>99</v>
      </c>
    </row>
    <row r="6" spans="2:19" ht="45" x14ac:dyDescent="0.25">
      <c r="B6" s="955"/>
      <c r="C6" s="956"/>
      <c r="D6" s="485" t="s">
        <v>1433</v>
      </c>
      <c r="E6" s="475" t="s">
        <v>321</v>
      </c>
    </row>
    <row r="7" spans="2:19" x14ac:dyDescent="0.25">
      <c r="B7" s="957"/>
      <c r="C7" s="958"/>
      <c r="D7" s="485" t="s">
        <v>322</v>
      </c>
      <c r="E7" s="475"/>
    </row>
    <row r="8" spans="2:19" ht="30" customHeight="1" x14ac:dyDescent="0.25">
      <c r="B8" s="950" t="s">
        <v>1462</v>
      </c>
      <c r="C8" s="951"/>
      <c r="D8" s="952"/>
      <c r="E8" s="953"/>
    </row>
    <row r="9" spans="2:19" ht="30" x14ac:dyDescent="0.25">
      <c r="B9" s="481">
        <v>1</v>
      </c>
      <c r="C9" s="30" t="s">
        <v>121</v>
      </c>
      <c r="D9" s="168">
        <f>+'3'!D9</f>
        <v>1192178</v>
      </c>
      <c r="E9" s="505"/>
    </row>
    <row r="10" spans="2:19" x14ac:dyDescent="0.25">
      <c r="B10" s="481">
        <v>2</v>
      </c>
      <c r="C10" s="30" t="s">
        <v>122</v>
      </c>
      <c r="D10" s="168">
        <f>+'3'!D10</f>
        <v>131203</v>
      </c>
      <c r="E10" s="505"/>
    </row>
    <row r="11" spans="2:19" x14ac:dyDescent="0.25">
      <c r="B11" s="481">
        <v>3</v>
      </c>
      <c r="C11" s="30" t="s">
        <v>123</v>
      </c>
      <c r="D11" s="168">
        <f>+'3'!D11</f>
        <v>0</v>
      </c>
      <c r="E11" s="505"/>
    </row>
    <row r="12" spans="2:19" x14ac:dyDescent="0.25">
      <c r="B12" s="481">
        <v>4</v>
      </c>
      <c r="C12" s="30" t="s">
        <v>124</v>
      </c>
      <c r="D12" s="168">
        <f>+'3'!D12</f>
        <v>3349350</v>
      </c>
      <c r="E12" s="505"/>
    </row>
    <row r="13" spans="2:19" x14ac:dyDescent="0.25">
      <c r="B13" s="481">
        <v>5</v>
      </c>
      <c r="C13" s="30" t="s">
        <v>125</v>
      </c>
      <c r="D13" s="168">
        <f>+'3'!D13</f>
        <v>2867198</v>
      </c>
      <c r="E13" s="505"/>
    </row>
    <row r="14" spans="2:19" x14ac:dyDescent="0.25">
      <c r="B14" s="481">
        <v>6</v>
      </c>
      <c r="C14" s="30" t="s">
        <v>126</v>
      </c>
      <c r="D14" s="168">
        <f>+'3'!D14</f>
        <v>303825</v>
      </c>
      <c r="E14" s="505"/>
    </row>
    <row r="15" spans="2:19" x14ac:dyDescent="0.25">
      <c r="B15" s="481">
        <v>7</v>
      </c>
      <c r="C15" s="30" t="s">
        <v>127</v>
      </c>
      <c r="D15" s="168">
        <f>+'3'!D15</f>
        <v>45132</v>
      </c>
      <c r="E15" s="505"/>
    </row>
    <row r="16" spans="2:19" x14ac:dyDescent="0.25">
      <c r="B16" s="481">
        <v>8</v>
      </c>
      <c r="C16" s="30" t="s">
        <v>128</v>
      </c>
      <c r="D16" s="168">
        <f>+'3'!D16</f>
        <v>659597</v>
      </c>
      <c r="E16" s="505"/>
    </row>
    <row r="17" spans="2:5" x14ac:dyDescent="0.25">
      <c r="B17" s="481">
        <v>9</v>
      </c>
      <c r="C17" s="30" t="s">
        <v>129</v>
      </c>
      <c r="D17" s="168">
        <f>+'3'!D17</f>
        <v>74751</v>
      </c>
      <c r="E17" s="505"/>
    </row>
    <row r="18" spans="2:5" x14ac:dyDescent="0.25">
      <c r="B18" s="481">
        <v>10</v>
      </c>
      <c r="C18" s="30" t="s">
        <v>130</v>
      </c>
      <c r="D18" s="168">
        <f>+'3'!D18</f>
        <v>2776</v>
      </c>
      <c r="E18" s="505"/>
    </row>
    <row r="19" spans="2:5" x14ac:dyDescent="0.25">
      <c r="B19" s="481">
        <v>11</v>
      </c>
      <c r="C19" s="30" t="s">
        <v>131</v>
      </c>
      <c r="D19" s="168">
        <f>+'3'!D19</f>
        <v>0</v>
      </c>
      <c r="E19" s="505"/>
    </row>
    <row r="20" spans="2:5" x14ac:dyDescent="0.25">
      <c r="B20" s="481">
        <f>+B19+1</f>
        <v>12</v>
      </c>
      <c r="C20" s="30" t="s">
        <v>1507</v>
      </c>
      <c r="D20" s="168">
        <f>+'3'!D20</f>
        <v>1255</v>
      </c>
      <c r="E20" s="505"/>
    </row>
    <row r="21" spans="2:5" x14ac:dyDescent="0.25">
      <c r="B21" s="481">
        <f>+B20+1</f>
        <v>13</v>
      </c>
      <c r="C21" s="30" t="s">
        <v>132</v>
      </c>
      <c r="D21" s="168">
        <f>+'3'!D21</f>
        <v>140661</v>
      </c>
      <c r="E21" s="505"/>
    </row>
    <row r="22" spans="2:5" x14ac:dyDescent="0.25">
      <c r="B22" s="481">
        <f>+B21+1</f>
        <v>14</v>
      </c>
      <c r="C22" s="30" t="s">
        <v>133</v>
      </c>
      <c r="D22" s="168">
        <f>+'3'!D22</f>
        <v>6988</v>
      </c>
      <c r="E22" s="505"/>
    </row>
    <row r="23" spans="2:5" x14ac:dyDescent="0.25">
      <c r="B23" s="481"/>
      <c r="C23" s="101" t="s">
        <v>323</v>
      </c>
      <c r="D23" s="168">
        <f>SUM(D9:D22)</f>
        <v>8774914</v>
      </c>
      <c r="E23" s="505"/>
    </row>
    <row r="24" spans="2:5" ht="30" customHeight="1" x14ac:dyDescent="0.25">
      <c r="B24" s="950" t="s">
        <v>1463</v>
      </c>
      <c r="C24" s="951"/>
      <c r="D24" s="951"/>
      <c r="E24" s="954"/>
    </row>
    <row r="25" spans="2:5" x14ac:dyDescent="0.25">
      <c r="B25" s="482">
        <v>1</v>
      </c>
      <c r="C25" s="30" t="s">
        <v>137</v>
      </c>
      <c r="D25" s="168">
        <f>+'3'!D26</f>
        <v>159226</v>
      </c>
      <c r="E25" s="506"/>
    </row>
    <row r="26" spans="2:5" x14ac:dyDescent="0.25">
      <c r="B26" s="481">
        <v>2</v>
      </c>
      <c r="C26" s="30" t="s">
        <v>138</v>
      </c>
      <c r="D26" s="168">
        <f>+'3'!D27</f>
        <v>6625213</v>
      </c>
      <c r="E26" s="506"/>
    </row>
    <row r="27" spans="2:5" x14ac:dyDescent="0.25">
      <c r="B27" s="481">
        <v>3</v>
      </c>
      <c r="C27" s="30" t="s">
        <v>139</v>
      </c>
      <c r="D27" s="168">
        <f>+'3'!D28</f>
        <v>659597</v>
      </c>
      <c r="E27" s="506"/>
    </row>
    <row r="28" spans="2:5" x14ac:dyDescent="0.25">
      <c r="B28" s="481">
        <v>4</v>
      </c>
      <c r="C28" s="47" t="s">
        <v>1508</v>
      </c>
      <c r="D28" s="168">
        <f>+'3'!D29</f>
        <v>28681</v>
      </c>
      <c r="E28" s="506"/>
    </row>
    <row r="29" spans="2:5" x14ac:dyDescent="0.25">
      <c r="B29" s="481">
        <v>5</v>
      </c>
      <c r="C29" s="30" t="s">
        <v>140</v>
      </c>
      <c r="D29" s="168">
        <f>+'3'!D30</f>
        <v>47578</v>
      </c>
      <c r="E29" s="506"/>
    </row>
    <row r="30" spans="2:5" x14ac:dyDescent="0.25">
      <c r="B30" s="481">
        <v>6</v>
      </c>
      <c r="C30" s="30" t="s">
        <v>133</v>
      </c>
      <c r="D30" s="168">
        <f>+'3'!D31</f>
        <v>13597</v>
      </c>
      <c r="E30" s="506"/>
    </row>
    <row r="31" spans="2:5" x14ac:dyDescent="0.25">
      <c r="B31" s="481">
        <v>7</v>
      </c>
      <c r="C31" s="30" t="s">
        <v>141</v>
      </c>
      <c r="D31" s="168">
        <f>+'3'!D32</f>
        <v>917</v>
      </c>
      <c r="E31" s="506"/>
    </row>
    <row r="32" spans="2:5" x14ac:dyDescent="0.25">
      <c r="B32" s="481">
        <v>8</v>
      </c>
      <c r="C32" s="30" t="s">
        <v>142</v>
      </c>
      <c r="D32" s="168">
        <f>+'3'!D33</f>
        <v>0</v>
      </c>
      <c r="E32" s="506"/>
    </row>
    <row r="33" spans="2:5" x14ac:dyDescent="0.25">
      <c r="B33" s="481">
        <v>9</v>
      </c>
      <c r="C33" s="30" t="s">
        <v>143</v>
      </c>
      <c r="D33" s="168">
        <f>+'3'!D34</f>
        <v>24401</v>
      </c>
      <c r="E33" s="506"/>
    </row>
    <row r="34" spans="2:5" x14ac:dyDescent="0.25">
      <c r="B34" s="481"/>
      <c r="C34" s="101" t="s">
        <v>324</v>
      </c>
      <c r="D34" s="168">
        <f>SUM(D25:D33)</f>
        <v>7559210</v>
      </c>
      <c r="E34" s="506"/>
    </row>
    <row r="35" spans="2:5" ht="15" customHeight="1" x14ac:dyDescent="0.25">
      <c r="B35" s="103" t="s">
        <v>325</v>
      </c>
      <c r="C35" s="104"/>
      <c r="D35" s="105"/>
      <c r="E35" s="106"/>
    </row>
    <row r="36" spans="2:5" x14ac:dyDescent="0.25">
      <c r="B36" s="481">
        <v>1</v>
      </c>
      <c r="C36" s="30" t="s">
        <v>144</v>
      </c>
      <c r="D36" s="168">
        <f>+'3'!D35</f>
        <v>75810</v>
      </c>
      <c r="E36" s="102" t="s">
        <v>1434</v>
      </c>
    </row>
    <row r="37" spans="2:5" x14ac:dyDescent="0.25">
      <c r="B37" s="481">
        <v>2</v>
      </c>
      <c r="C37" s="30" t="s">
        <v>145</v>
      </c>
      <c r="D37" s="168">
        <f>+'3'!D36</f>
        <v>5189</v>
      </c>
      <c r="E37" s="102" t="s">
        <v>1438</v>
      </c>
    </row>
    <row r="38" spans="2:5" x14ac:dyDescent="0.25">
      <c r="B38" s="481">
        <v>3</v>
      </c>
      <c r="C38" s="30" t="s">
        <v>146</v>
      </c>
      <c r="D38" s="168">
        <f>+'3'!D37</f>
        <v>2202</v>
      </c>
      <c r="E38" s="102" t="s">
        <v>1438</v>
      </c>
    </row>
    <row r="39" spans="2:5" x14ac:dyDescent="0.25">
      <c r="B39" s="481">
        <v>4</v>
      </c>
      <c r="C39" s="30" t="s">
        <v>1440</v>
      </c>
      <c r="D39" s="168">
        <f>1122409-20345+154</f>
        <v>1102218</v>
      </c>
      <c r="E39" s="102" t="s">
        <v>1437</v>
      </c>
    </row>
    <row r="40" spans="2:5" x14ac:dyDescent="0.25">
      <c r="B40" s="481">
        <v>5</v>
      </c>
      <c r="C40" s="30" t="s">
        <v>1441</v>
      </c>
      <c r="D40" s="168">
        <f>30439-10094</f>
        <v>20345</v>
      </c>
      <c r="E40" s="102" t="s">
        <v>1442</v>
      </c>
    </row>
    <row r="41" spans="2:5" x14ac:dyDescent="0.25">
      <c r="B41" s="481">
        <v>6</v>
      </c>
      <c r="C41" s="30" t="s">
        <v>148</v>
      </c>
      <c r="D41" s="168">
        <v>10094</v>
      </c>
      <c r="E41" s="102"/>
    </row>
    <row r="42" spans="2:5" x14ac:dyDescent="0.25">
      <c r="B42" s="481">
        <v>7</v>
      </c>
      <c r="C42" s="30" t="s">
        <v>1444</v>
      </c>
      <c r="D42" s="168">
        <v>-154</v>
      </c>
      <c r="E42" s="102"/>
    </row>
    <row r="43" spans="2:5" x14ac:dyDescent="0.25">
      <c r="B43" s="481"/>
      <c r="C43" s="101" t="s">
        <v>326</v>
      </c>
      <c r="D43" s="168">
        <f>SUM(D36:D42)</f>
        <v>1215704</v>
      </c>
      <c r="E43" s="102"/>
    </row>
    <row r="44" spans="2:5" x14ac:dyDescent="0.25">
      <c r="D44" s="108"/>
      <c r="E44" s="108"/>
    </row>
    <row r="45" spans="2:5" x14ac:dyDescent="0.25">
      <c r="D45" s="359"/>
    </row>
  </sheetData>
  <mergeCells count="4">
    <mergeCell ref="B3:E4"/>
    <mergeCell ref="B8:E8"/>
    <mergeCell ref="B24:E24"/>
    <mergeCell ref="B5:C7"/>
  </mergeCells>
  <hyperlinks>
    <hyperlink ref="B2" location="Indhold!B12" display="Skema CC2 – Afstemning mellem lovbestemt kapitalgrundlag og balancen i de reviderede regnskaber" xr:uid="{41440300-B052-41A9-97FC-9680929EA14E}"/>
  </hyperlinks>
  <pageMargins left="0.7" right="0.7" top="0.75" bottom="0.75" header="0.3" footer="0.3"/>
  <pageSetup paperSize="9" scale="75" orientation="landscape" r:id="rId1"/>
  <headerFooter>
    <oddHeader>&amp;CDA
Bilag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FED32-1E51-4E63-8719-1D0B24E9F6AE}">
  <sheetPr>
    <pageSetUpPr fitToPage="1"/>
  </sheetPr>
  <dimension ref="B2:F21"/>
  <sheetViews>
    <sheetView showGridLines="0" zoomScaleNormal="100" workbookViewId="0">
      <selection activeCell="B2" sqref="B2"/>
    </sheetView>
  </sheetViews>
  <sheetFormatPr defaultColWidth="9.140625" defaultRowHeight="15" x14ac:dyDescent="0.25"/>
  <cols>
    <col min="3" max="3" width="63.140625" customWidth="1"/>
    <col min="4" max="4" width="17.85546875" style="93" customWidth="1"/>
  </cols>
  <sheetData>
    <row r="2" spans="2:6" ht="18.75" customHeight="1" x14ac:dyDescent="0.3">
      <c r="B2" s="422" t="s">
        <v>360</v>
      </c>
      <c r="C2" s="127"/>
      <c r="D2" s="128"/>
    </row>
    <row r="3" spans="2:6" ht="15" customHeight="1" x14ac:dyDescent="0.25">
      <c r="B3" s="127"/>
      <c r="C3" s="127"/>
      <c r="D3" s="127"/>
    </row>
    <row r="5" spans="2:6" x14ac:dyDescent="0.25">
      <c r="B5" s="724"/>
      <c r="C5" s="725"/>
      <c r="D5" s="488" t="s">
        <v>1431</v>
      </c>
    </row>
    <row r="6" spans="2:6" x14ac:dyDescent="0.25">
      <c r="B6" s="726"/>
      <c r="C6" s="727"/>
      <c r="D6" s="489" t="s">
        <v>361</v>
      </c>
    </row>
    <row r="7" spans="2:6" x14ac:dyDescent="0.25">
      <c r="B7" s="129">
        <v>1</v>
      </c>
      <c r="C7" s="486" t="s">
        <v>362</v>
      </c>
      <c r="D7" s="487">
        <f>+'7'!D23</f>
        <v>8774914</v>
      </c>
      <c r="E7" s="131"/>
      <c r="F7" s="26"/>
    </row>
    <row r="8" spans="2:6" ht="45" x14ac:dyDescent="0.25">
      <c r="B8" s="16">
        <v>2</v>
      </c>
      <c r="C8" s="30" t="s">
        <v>363</v>
      </c>
      <c r="D8" s="130">
        <v>0</v>
      </c>
      <c r="E8" s="131"/>
      <c r="F8" s="26"/>
    </row>
    <row r="9" spans="2:6" ht="30" x14ac:dyDescent="0.25">
      <c r="B9" s="16">
        <v>3</v>
      </c>
      <c r="C9" s="30" t="s">
        <v>364</v>
      </c>
      <c r="D9" s="132">
        <v>0</v>
      </c>
    </row>
    <row r="10" spans="2:6" ht="30" x14ac:dyDescent="0.25">
      <c r="B10" s="16">
        <v>4</v>
      </c>
      <c r="C10" s="64" t="s">
        <v>365</v>
      </c>
      <c r="D10" s="132">
        <v>0</v>
      </c>
    </row>
    <row r="11" spans="2:6" ht="60" x14ac:dyDescent="0.25">
      <c r="B11" s="16">
        <v>5</v>
      </c>
      <c r="C11" s="9" t="s">
        <v>366</v>
      </c>
      <c r="D11" s="132">
        <v>0</v>
      </c>
    </row>
    <row r="12" spans="2:6" ht="30" x14ac:dyDescent="0.25">
      <c r="B12" s="16">
        <v>6</v>
      </c>
      <c r="C12" s="30" t="s">
        <v>367</v>
      </c>
      <c r="D12" s="133">
        <v>0</v>
      </c>
    </row>
    <row r="13" spans="2:6" x14ac:dyDescent="0.25">
      <c r="B13" s="16">
        <v>7</v>
      </c>
      <c r="C13" s="30" t="s">
        <v>368</v>
      </c>
      <c r="D13" s="134">
        <v>0</v>
      </c>
    </row>
    <row r="14" spans="2:6" x14ac:dyDescent="0.25">
      <c r="B14" s="16">
        <v>8</v>
      </c>
      <c r="C14" s="30" t="s">
        <v>369</v>
      </c>
      <c r="D14" s="132">
        <v>0</v>
      </c>
    </row>
    <row r="15" spans="2:6" x14ac:dyDescent="0.25">
      <c r="B15" s="16">
        <v>9</v>
      </c>
      <c r="C15" s="30" t="s">
        <v>370</v>
      </c>
      <c r="D15" s="132">
        <v>0</v>
      </c>
    </row>
    <row r="16" spans="2:6" ht="30" x14ac:dyDescent="0.25">
      <c r="B16" s="16">
        <v>10</v>
      </c>
      <c r="C16" s="30" t="s">
        <v>371</v>
      </c>
      <c r="D16" s="132">
        <f>+(247968000+68080000+17134000+1003174000)/1000</f>
        <v>1336356</v>
      </c>
    </row>
    <row r="17" spans="2:4" ht="45" x14ac:dyDescent="0.25">
      <c r="B17" s="16">
        <v>11</v>
      </c>
      <c r="C17" s="9" t="s">
        <v>372</v>
      </c>
      <c r="D17" s="135">
        <v>0</v>
      </c>
    </row>
    <row r="18" spans="2:4" ht="30" x14ac:dyDescent="0.25">
      <c r="B18" s="16" t="s">
        <v>373</v>
      </c>
      <c r="C18" s="9" t="s">
        <v>374</v>
      </c>
      <c r="D18" s="136">
        <v>0</v>
      </c>
    </row>
    <row r="19" spans="2:4" ht="30" x14ac:dyDescent="0.25">
      <c r="B19" s="16" t="s">
        <v>375</v>
      </c>
      <c r="C19" s="9" t="s">
        <v>376</v>
      </c>
      <c r="D19" s="136">
        <v>0</v>
      </c>
    </row>
    <row r="20" spans="2:4" x14ac:dyDescent="0.25">
      <c r="B20" s="16">
        <v>12</v>
      </c>
      <c r="C20" s="30" t="s">
        <v>377</v>
      </c>
      <c r="D20" s="132">
        <v>-139861</v>
      </c>
    </row>
    <row r="21" spans="2:4" x14ac:dyDescent="0.25">
      <c r="B21" s="16">
        <v>13</v>
      </c>
      <c r="C21" s="101" t="s">
        <v>378</v>
      </c>
      <c r="D21" s="136">
        <f>+'9'!D55</f>
        <v>9971409</v>
      </c>
    </row>
  </sheetData>
  <hyperlinks>
    <hyperlink ref="B2" location="Indhold!B14" display="Skema EU LR1 - LRSum: Afstemning mellem regnskabsmæssige aktiver og gearingsgradrelevante eksponeringer — oversigt" xr:uid="{B23A74C6-FC70-4DB0-B46E-6372CB7AE42F}"/>
  </hyperlinks>
  <pageMargins left="0.70866141732283472" right="0.70866141732283472" top="0.74803149606299213" bottom="0.74803149606299213" header="0.31496062992125984" footer="0.31496062992125984"/>
  <pageSetup paperSize="9" orientation="landscape" r:id="rId1"/>
  <headerFooter>
    <oddHeader>&amp;CDA
Bilag XI</oddHead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E23F-B6CA-410E-A336-63C38B47C9AC}">
  <sheetPr>
    <pageSetUpPr fitToPage="1"/>
  </sheetPr>
  <dimension ref="A1:M73"/>
  <sheetViews>
    <sheetView showGridLines="0" zoomScaleNormal="100" workbookViewId="0">
      <selection activeCell="B2" sqref="B2"/>
    </sheetView>
  </sheetViews>
  <sheetFormatPr defaultColWidth="9.140625" defaultRowHeight="43.5" customHeight="1" x14ac:dyDescent="0.25"/>
  <cols>
    <col min="2" max="2" width="8.5703125" style="91" customWidth="1"/>
    <col min="3" max="3" width="71.85546875" customWidth="1"/>
    <col min="4" max="4" width="14" style="108" customWidth="1"/>
    <col min="5" max="5" width="13.85546875" style="108" customWidth="1"/>
  </cols>
  <sheetData>
    <row r="1" spans="1:5" ht="15" x14ac:dyDescent="0.25"/>
    <row r="2" spans="1:5" ht="18.75" x14ac:dyDescent="0.3">
      <c r="A2" s="137"/>
      <c r="B2" s="422" t="s">
        <v>379</v>
      </c>
    </row>
    <row r="3" spans="1:5" ht="15" customHeight="1" x14ac:dyDescent="0.3">
      <c r="A3" s="137"/>
      <c r="B3" s="422"/>
    </row>
    <row r="4" spans="1:5" ht="15" x14ac:dyDescent="0.25"/>
    <row r="5" spans="1:5" ht="43.5" customHeight="1" x14ac:dyDescent="0.25">
      <c r="B5" s="812"/>
      <c r="C5" s="813"/>
      <c r="D5" s="962" t="s">
        <v>380</v>
      </c>
      <c r="E5" s="962"/>
    </row>
    <row r="6" spans="1:5" ht="43.5" customHeight="1" x14ac:dyDescent="0.25">
      <c r="B6" s="963"/>
      <c r="C6" s="963"/>
      <c r="D6" s="491" t="s">
        <v>1431</v>
      </c>
      <c r="E6" s="491" t="s">
        <v>1431</v>
      </c>
    </row>
    <row r="7" spans="1:5" ht="43.5" customHeight="1" x14ac:dyDescent="0.25">
      <c r="B7" s="964"/>
      <c r="C7" s="964"/>
      <c r="D7" s="492" t="s">
        <v>497</v>
      </c>
      <c r="E7" s="492" t="s">
        <v>497</v>
      </c>
    </row>
    <row r="8" spans="1:5" ht="15" x14ac:dyDescent="0.25">
      <c r="B8" s="965" t="s">
        <v>381</v>
      </c>
      <c r="C8" s="966"/>
      <c r="D8" s="966"/>
      <c r="E8" s="967"/>
    </row>
    <row r="9" spans="1:5" ht="15" x14ac:dyDescent="0.25">
      <c r="B9" s="138">
        <v>1</v>
      </c>
      <c r="C9" s="9" t="s">
        <v>382</v>
      </c>
      <c r="D9" s="134">
        <v>8774914</v>
      </c>
      <c r="E9" s="134">
        <f>8328436997/1000</f>
        <v>8328436.9970000004</v>
      </c>
    </row>
    <row r="10" spans="1:5" ht="30" x14ac:dyDescent="0.25">
      <c r="B10" s="58">
        <v>2</v>
      </c>
      <c r="C10" s="9" t="s">
        <v>383</v>
      </c>
      <c r="D10" s="132">
        <v>0</v>
      </c>
      <c r="E10" s="132">
        <v>0</v>
      </c>
    </row>
    <row r="11" spans="1:5" ht="30" x14ac:dyDescent="0.25">
      <c r="B11" s="58">
        <v>3</v>
      </c>
      <c r="C11" s="9" t="s">
        <v>384</v>
      </c>
      <c r="D11" s="132">
        <v>0</v>
      </c>
      <c r="E11" s="132">
        <v>0</v>
      </c>
    </row>
    <row r="12" spans="1:5" ht="30" x14ac:dyDescent="0.25">
      <c r="B12" s="58">
        <v>4</v>
      </c>
      <c r="C12" s="9" t="s">
        <v>385</v>
      </c>
      <c r="D12" s="132">
        <v>0</v>
      </c>
      <c r="E12" s="132">
        <v>0</v>
      </c>
    </row>
    <row r="13" spans="1:5" ht="15" x14ac:dyDescent="0.25">
      <c r="B13" s="58">
        <v>5</v>
      </c>
      <c r="C13" s="139" t="s">
        <v>386</v>
      </c>
      <c r="D13" s="133">
        <v>0</v>
      </c>
      <c r="E13" s="133">
        <v>0</v>
      </c>
    </row>
    <row r="14" spans="1:5" ht="15" x14ac:dyDescent="0.25">
      <c r="B14" s="138">
        <v>6</v>
      </c>
      <c r="C14" s="9" t="s">
        <v>387</v>
      </c>
      <c r="D14" s="132">
        <v>-139861</v>
      </c>
      <c r="E14" s="132">
        <v>-116545</v>
      </c>
    </row>
    <row r="15" spans="1:5" ht="15" x14ac:dyDescent="0.25">
      <c r="B15" s="140">
        <v>7</v>
      </c>
      <c r="C15" s="141" t="s">
        <v>388</v>
      </c>
      <c r="D15" s="142">
        <f>SUM(D9:D14)</f>
        <v>8635053</v>
      </c>
      <c r="E15" s="142">
        <f>SUM(E9:E14)</f>
        <v>8211891.9970000004</v>
      </c>
    </row>
    <row r="16" spans="1:5" ht="15" x14ac:dyDescent="0.25">
      <c r="B16" s="959" t="s">
        <v>389</v>
      </c>
      <c r="C16" s="960"/>
      <c r="D16" s="960"/>
      <c r="E16" s="961"/>
    </row>
    <row r="17" spans="2:5" ht="45" x14ac:dyDescent="0.25">
      <c r="B17" s="10">
        <v>8</v>
      </c>
      <c r="C17" s="143" t="s">
        <v>390</v>
      </c>
      <c r="D17" s="134">
        <v>0</v>
      </c>
      <c r="E17" s="134">
        <v>0</v>
      </c>
    </row>
    <row r="18" spans="2:5" ht="30" x14ac:dyDescent="0.25">
      <c r="B18" s="10" t="s">
        <v>391</v>
      </c>
      <c r="C18" s="144" t="s">
        <v>392</v>
      </c>
      <c r="D18" s="134">
        <v>0</v>
      </c>
      <c r="E18" s="134">
        <v>0</v>
      </c>
    </row>
    <row r="19" spans="2:5" ht="30" x14ac:dyDescent="0.25">
      <c r="B19" s="10">
        <v>9</v>
      </c>
      <c r="C19" s="9" t="s">
        <v>393</v>
      </c>
      <c r="D19" s="134">
        <v>0</v>
      </c>
      <c r="E19" s="134">
        <v>0</v>
      </c>
    </row>
    <row r="20" spans="2:5" ht="30" x14ac:dyDescent="0.25">
      <c r="B20" s="10" t="s">
        <v>394</v>
      </c>
      <c r="C20" s="145" t="s">
        <v>395</v>
      </c>
      <c r="D20" s="134">
        <v>0</v>
      </c>
      <c r="E20" s="134">
        <v>0</v>
      </c>
    </row>
    <row r="21" spans="2:5" ht="15" x14ac:dyDescent="0.25">
      <c r="B21" s="10" t="s">
        <v>396</v>
      </c>
      <c r="C21" s="145" t="s">
        <v>397</v>
      </c>
      <c r="D21" s="134">
        <v>0</v>
      </c>
      <c r="E21" s="134">
        <v>0</v>
      </c>
    </row>
    <row r="22" spans="2:5" ht="30" x14ac:dyDescent="0.25">
      <c r="B22" s="146">
        <v>10</v>
      </c>
      <c r="C22" s="107" t="s">
        <v>398</v>
      </c>
      <c r="D22" s="134">
        <v>0</v>
      </c>
      <c r="E22" s="134">
        <v>0</v>
      </c>
    </row>
    <row r="23" spans="2:5" ht="30" x14ac:dyDescent="0.25">
      <c r="B23" s="146" t="s">
        <v>399</v>
      </c>
      <c r="C23" s="11" t="s">
        <v>400</v>
      </c>
      <c r="D23" s="134">
        <v>0</v>
      </c>
      <c r="E23" s="134">
        <v>0</v>
      </c>
    </row>
    <row r="24" spans="2:5" ht="30" x14ac:dyDescent="0.25">
      <c r="B24" s="146" t="s">
        <v>401</v>
      </c>
      <c r="C24" s="147" t="s">
        <v>402</v>
      </c>
      <c r="D24" s="134">
        <v>0</v>
      </c>
      <c r="E24" s="134">
        <v>0</v>
      </c>
    </row>
    <row r="25" spans="2:5" ht="15" x14ac:dyDescent="0.25">
      <c r="B25" s="10">
        <v>11</v>
      </c>
      <c r="C25" s="9" t="s">
        <v>403</v>
      </c>
      <c r="D25" s="134">
        <v>0</v>
      </c>
      <c r="E25" s="134">
        <v>0</v>
      </c>
    </row>
    <row r="26" spans="2:5" ht="30" x14ac:dyDescent="0.25">
      <c r="B26" s="10">
        <v>12</v>
      </c>
      <c r="C26" s="9" t="s">
        <v>404</v>
      </c>
      <c r="D26" s="134">
        <v>0</v>
      </c>
      <c r="E26" s="134">
        <v>0</v>
      </c>
    </row>
    <row r="27" spans="2:5" ht="15" x14ac:dyDescent="0.25">
      <c r="B27" s="148">
        <v>13</v>
      </c>
      <c r="C27" s="149" t="s">
        <v>405</v>
      </c>
      <c r="D27" s="142">
        <f>SUM(D17:D26)</f>
        <v>0</v>
      </c>
      <c r="E27" s="142">
        <f>SUM(E17:E26)</f>
        <v>0</v>
      </c>
    </row>
    <row r="28" spans="2:5" ht="15" x14ac:dyDescent="0.25">
      <c r="B28" s="968" t="s">
        <v>406</v>
      </c>
      <c r="C28" s="969"/>
      <c r="D28" s="969"/>
      <c r="E28" s="970"/>
    </row>
    <row r="29" spans="2:5" ht="30" x14ac:dyDescent="0.25">
      <c r="B29" s="138">
        <v>14</v>
      </c>
      <c r="C29" s="9" t="s">
        <v>407</v>
      </c>
      <c r="D29" s="134">
        <v>0</v>
      </c>
      <c r="E29" s="134">
        <v>0</v>
      </c>
    </row>
    <row r="30" spans="2:5" ht="30" x14ac:dyDescent="0.25">
      <c r="B30" s="138">
        <v>15</v>
      </c>
      <c r="C30" s="9" t="s">
        <v>408</v>
      </c>
      <c r="D30" s="508">
        <v>0</v>
      </c>
      <c r="E30" s="134">
        <v>0</v>
      </c>
    </row>
    <row r="31" spans="2:5" ht="15" x14ac:dyDescent="0.25">
      <c r="B31" s="138">
        <v>16</v>
      </c>
      <c r="C31" s="9" t="s">
        <v>409</v>
      </c>
      <c r="D31" s="134">
        <v>0</v>
      </c>
      <c r="E31" s="134">
        <v>0</v>
      </c>
    </row>
    <row r="32" spans="2:5" ht="30" x14ac:dyDescent="0.25">
      <c r="B32" s="10" t="s">
        <v>410</v>
      </c>
      <c r="C32" s="9" t="s">
        <v>411</v>
      </c>
      <c r="D32" s="134">
        <v>0</v>
      </c>
      <c r="E32" s="134">
        <v>0</v>
      </c>
    </row>
    <row r="33" spans="2:5" ht="15" x14ac:dyDescent="0.25">
      <c r="B33" s="10">
        <v>17</v>
      </c>
      <c r="C33" s="9" t="s">
        <v>412</v>
      </c>
      <c r="D33" s="134">
        <v>0</v>
      </c>
      <c r="E33" s="134">
        <v>0</v>
      </c>
    </row>
    <row r="34" spans="2:5" ht="15" x14ac:dyDescent="0.25">
      <c r="B34" s="10" t="s">
        <v>413</v>
      </c>
      <c r="C34" s="9" t="s">
        <v>414</v>
      </c>
      <c r="D34" s="134">
        <v>0</v>
      </c>
      <c r="E34" s="134">
        <v>0</v>
      </c>
    </row>
    <row r="35" spans="2:5" ht="15" x14ac:dyDescent="0.25">
      <c r="B35" s="148">
        <v>18</v>
      </c>
      <c r="C35" s="149" t="s">
        <v>415</v>
      </c>
      <c r="D35" s="142">
        <f>SUM(D29:D34)</f>
        <v>0</v>
      </c>
      <c r="E35" s="142">
        <f>SUM(E29:E34)</f>
        <v>0</v>
      </c>
    </row>
    <row r="36" spans="2:5" ht="15" x14ac:dyDescent="0.25">
      <c r="B36" s="959" t="s">
        <v>416</v>
      </c>
      <c r="C36" s="960"/>
      <c r="D36" s="960"/>
      <c r="E36" s="961"/>
    </row>
    <row r="37" spans="2:5" ht="15" x14ac:dyDescent="0.25">
      <c r="B37" s="138">
        <v>19</v>
      </c>
      <c r="C37" s="9" t="s">
        <v>417</v>
      </c>
      <c r="D37" s="134">
        <v>3857521</v>
      </c>
      <c r="E37" s="134">
        <v>4102021</v>
      </c>
    </row>
    <row r="38" spans="2:5" ht="15" x14ac:dyDescent="0.25">
      <c r="B38" s="138">
        <v>20</v>
      </c>
      <c r="C38" s="9" t="s">
        <v>418</v>
      </c>
      <c r="D38" s="134">
        <f>+D40-D37</f>
        <v>-2521165</v>
      </c>
      <c r="E38" s="134">
        <f>+E40-E37</f>
        <v>-2517913</v>
      </c>
    </row>
    <row r="39" spans="2:5" ht="30" x14ac:dyDescent="0.25">
      <c r="B39" s="138">
        <v>21</v>
      </c>
      <c r="C39" s="64" t="s">
        <v>419</v>
      </c>
      <c r="D39" s="134">
        <v>0</v>
      </c>
      <c r="E39" s="134">
        <v>0</v>
      </c>
    </row>
    <row r="40" spans="2:5" ht="15" x14ac:dyDescent="0.25">
      <c r="B40" s="148">
        <v>22</v>
      </c>
      <c r="C40" s="149" t="s">
        <v>420</v>
      </c>
      <c r="D40" s="142">
        <f>+(247968000+68080000+17134000+1003174000)/1000</f>
        <v>1336356</v>
      </c>
      <c r="E40" s="142">
        <f>+(240805000+83705000+15849000+1243749000)/1000</f>
        <v>1584108</v>
      </c>
    </row>
    <row r="41" spans="2:5" ht="15" x14ac:dyDescent="0.25">
      <c r="B41" s="971" t="s">
        <v>421</v>
      </c>
      <c r="C41" s="972"/>
      <c r="D41" s="972"/>
      <c r="E41" s="973"/>
    </row>
    <row r="42" spans="2:5" ht="30" x14ac:dyDescent="0.25">
      <c r="B42" s="10" t="s">
        <v>422</v>
      </c>
      <c r="C42" s="9" t="s">
        <v>423</v>
      </c>
      <c r="D42" s="134">
        <v>0</v>
      </c>
      <c r="E42" s="134">
        <v>0</v>
      </c>
    </row>
    <row r="43" spans="2:5" ht="30" x14ac:dyDescent="0.25">
      <c r="B43" s="10" t="s">
        <v>424</v>
      </c>
      <c r="C43" s="9" t="s">
        <v>425</v>
      </c>
      <c r="D43" s="134">
        <v>0</v>
      </c>
      <c r="E43" s="134">
        <v>0</v>
      </c>
    </row>
    <row r="44" spans="2:5" ht="30" x14ac:dyDescent="0.25">
      <c r="B44" s="150" t="s">
        <v>426</v>
      </c>
      <c r="C44" s="144" t="s">
        <v>427</v>
      </c>
      <c r="D44" s="134">
        <v>0</v>
      </c>
      <c r="E44" s="134">
        <v>0</v>
      </c>
    </row>
    <row r="45" spans="2:5" ht="30" x14ac:dyDescent="0.25">
      <c r="B45" s="150" t="s">
        <v>428</v>
      </c>
      <c r="C45" s="144" t="s">
        <v>429</v>
      </c>
      <c r="D45" s="134">
        <v>0</v>
      </c>
      <c r="E45" s="134">
        <v>0</v>
      </c>
    </row>
    <row r="46" spans="2:5" ht="30" x14ac:dyDescent="0.25">
      <c r="B46" s="150" t="s">
        <v>430</v>
      </c>
      <c r="C46" s="151" t="s">
        <v>431</v>
      </c>
      <c r="D46" s="134">
        <v>0</v>
      </c>
      <c r="E46" s="134">
        <v>0</v>
      </c>
    </row>
    <row r="47" spans="2:5" ht="30" x14ac:dyDescent="0.25">
      <c r="B47" s="150" t="s">
        <v>432</v>
      </c>
      <c r="C47" s="144" t="s">
        <v>433</v>
      </c>
      <c r="D47" s="134">
        <v>0</v>
      </c>
      <c r="E47" s="134">
        <v>0</v>
      </c>
    </row>
    <row r="48" spans="2:5" ht="15" x14ac:dyDescent="0.25">
      <c r="B48" s="150" t="s">
        <v>434</v>
      </c>
      <c r="C48" s="144" t="s">
        <v>435</v>
      </c>
      <c r="D48" s="134">
        <v>0</v>
      </c>
      <c r="E48" s="134"/>
    </row>
    <row r="49" spans="2:5" ht="30" x14ac:dyDescent="0.25">
      <c r="B49" s="150" t="s">
        <v>436</v>
      </c>
      <c r="C49" s="144" t="s">
        <v>437</v>
      </c>
      <c r="D49" s="134">
        <v>0</v>
      </c>
      <c r="E49" s="134">
        <v>0</v>
      </c>
    </row>
    <row r="50" spans="2:5" ht="30" x14ac:dyDescent="0.25">
      <c r="B50" s="150" t="s">
        <v>438</v>
      </c>
      <c r="C50" s="144" t="s">
        <v>439</v>
      </c>
      <c r="D50" s="134">
        <v>0</v>
      </c>
      <c r="E50" s="134">
        <v>0</v>
      </c>
    </row>
    <row r="51" spans="2:5" ht="15" x14ac:dyDescent="0.25">
      <c r="B51" s="150" t="s">
        <v>440</v>
      </c>
      <c r="C51" s="144" t="s">
        <v>441</v>
      </c>
      <c r="D51" s="134">
        <v>0</v>
      </c>
      <c r="E51" s="134">
        <v>0</v>
      </c>
    </row>
    <row r="52" spans="2:5" ht="15" x14ac:dyDescent="0.25">
      <c r="B52" s="152" t="s">
        <v>442</v>
      </c>
      <c r="C52" s="153" t="s">
        <v>443</v>
      </c>
      <c r="D52" s="509">
        <f>SUM(D42:D51)</f>
        <v>0</v>
      </c>
      <c r="E52" s="509">
        <f>SUM(E42:E51)</f>
        <v>0</v>
      </c>
    </row>
    <row r="53" spans="2:5" ht="15" x14ac:dyDescent="0.25">
      <c r="B53" s="974" t="s">
        <v>444</v>
      </c>
      <c r="C53" s="975"/>
      <c r="D53" s="975"/>
      <c r="E53" s="976"/>
    </row>
    <row r="54" spans="2:5" ht="15" x14ac:dyDescent="0.25">
      <c r="B54" s="138">
        <v>23</v>
      </c>
      <c r="C54" s="154" t="s">
        <v>294</v>
      </c>
      <c r="D54" s="134">
        <f>+'2'!D10</f>
        <v>1057075.648</v>
      </c>
      <c r="E54" s="134">
        <f>1054985679/1000</f>
        <v>1054985.679</v>
      </c>
    </row>
    <row r="55" spans="2:5" ht="15" x14ac:dyDescent="0.25">
      <c r="B55" s="155">
        <v>24</v>
      </c>
      <c r="C55" s="156" t="s">
        <v>378</v>
      </c>
      <c r="D55" s="510">
        <f>+D15+D27+D35+D40+D52</f>
        <v>9971409</v>
      </c>
      <c r="E55" s="510">
        <f>+E15+E27+E35+E40+E52</f>
        <v>9795999.9970000014</v>
      </c>
    </row>
    <row r="56" spans="2:5" ht="15" x14ac:dyDescent="0.25">
      <c r="B56" s="974" t="s">
        <v>63</v>
      </c>
      <c r="C56" s="975"/>
      <c r="D56" s="975"/>
      <c r="E56" s="976"/>
    </row>
    <row r="57" spans="2:5" ht="15" x14ac:dyDescent="0.25">
      <c r="B57" s="138">
        <v>25</v>
      </c>
      <c r="C57" s="21" t="s">
        <v>445</v>
      </c>
      <c r="D57" s="511">
        <f>+$D$54/$D$55*100</f>
        <v>10.601065987765621</v>
      </c>
      <c r="E57" s="511">
        <f>+$E$54/$E$55*100</f>
        <v>10.769555730125424</v>
      </c>
    </row>
    <row r="58" spans="2:5" ht="30" x14ac:dyDescent="0.25">
      <c r="B58" s="10" t="s">
        <v>446</v>
      </c>
      <c r="C58" s="9" t="s">
        <v>447</v>
      </c>
      <c r="D58" s="511">
        <f t="shared" ref="D58:D59" si="0">+$D$54/$D$55*100</f>
        <v>10.601065987765621</v>
      </c>
      <c r="E58" s="511">
        <f t="shared" ref="E58:E59" si="1">+$E$54/$E$55*100</f>
        <v>10.769555730125424</v>
      </c>
    </row>
    <row r="59" spans="2:5" ht="30" x14ac:dyDescent="0.25">
      <c r="B59" s="10" t="s">
        <v>448</v>
      </c>
      <c r="C59" s="64" t="s">
        <v>449</v>
      </c>
      <c r="D59" s="511">
        <f t="shared" si="0"/>
        <v>10.601065987765621</v>
      </c>
      <c r="E59" s="511">
        <f t="shared" si="1"/>
        <v>10.769555730125424</v>
      </c>
    </row>
    <row r="60" spans="2:5" ht="15" x14ac:dyDescent="0.25">
      <c r="B60" s="10">
        <v>26</v>
      </c>
      <c r="C60" s="9" t="s">
        <v>450</v>
      </c>
      <c r="D60" s="511">
        <v>3</v>
      </c>
      <c r="E60" s="511">
        <v>3</v>
      </c>
    </row>
    <row r="61" spans="2:5" ht="30" x14ac:dyDescent="0.25">
      <c r="B61" s="10" t="s">
        <v>451</v>
      </c>
      <c r="C61" s="9" t="s">
        <v>58</v>
      </c>
      <c r="D61" s="507">
        <v>0</v>
      </c>
      <c r="E61" s="507">
        <v>0</v>
      </c>
    </row>
    <row r="62" spans="2:5" ht="15" x14ac:dyDescent="0.25">
      <c r="B62" s="10" t="s">
        <v>452</v>
      </c>
      <c r="C62" s="9" t="s">
        <v>453</v>
      </c>
      <c r="D62" s="507">
        <v>0</v>
      </c>
      <c r="E62" s="507">
        <v>0</v>
      </c>
    </row>
    <row r="63" spans="2:5" ht="15" x14ac:dyDescent="0.25">
      <c r="B63" s="10">
        <v>27</v>
      </c>
      <c r="C63" s="64" t="s">
        <v>51</v>
      </c>
      <c r="D63" s="507">
        <v>0</v>
      </c>
      <c r="E63" s="507">
        <v>0</v>
      </c>
    </row>
    <row r="64" spans="2:5" ht="15" x14ac:dyDescent="0.25">
      <c r="B64" s="33" t="s">
        <v>454</v>
      </c>
      <c r="C64" s="64" t="s">
        <v>49</v>
      </c>
      <c r="D64" s="511">
        <f>+D60+D61+D63</f>
        <v>3</v>
      </c>
      <c r="E64" s="511">
        <f>+E60+E61+E63</f>
        <v>3</v>
      </c>
    </row>
    <row r="65" spans="2:13" ht="15" x14ac:dyDescent="0.25">
      <c r="B65" s="971" t="s">
        <v>455</v>
      </c>
      <c r="C65" s="972"/>
      <c r="D65" s="972"/>
      <c r="E65" s="973"/>
    </row>
    <row r="66" spans="2:13" ht="15" x14ac:dyDescent="0.25">
      <c r="B66" s="33" t="s">
        <v>456</v>
      </c>
      <c r="C66" s="64" t="s">
        <v>457</v>
      </c>
      <c r="D66" s="132">
        <v>0</v>
      </c>
      <c r="E66" s="132">
        <v>0</v>
      </c>
      <c r="M66" s="34"/>
    </row>
    <row r="67" spans="2:13" ht="15" x14ac:dyDescent="0.25">
      <c r="B67" s="974" t="s">
        <v>458</v>
      </c>
      <c r="C67" s="975"/>
      <c r="D67" s="975"/>
      <c r="E67" s="976"/>
    </row>
    <row r="68" spans="2:13" ht="45" x14ac:dyDescent="0.25">
      <c r="B68" s="10">
        <v>28</v>
      </c>
      <c r="C68" s="9" t="s">
        <v>459</v>
      </c>
      <c r="D68" s="134">
        <v>0</v>
      </c>
      <c r="E68" s="134">
        <v>0</v>
      </c>
      <c r="M68" s="131"/>
    </row>
    <row r="69" spans="2:13" ht="45" x14ac:dyDescent="0.25">
      <c r="B69" s="10">
        <v>29</v>
      </c>
      <c r="C69" s="9" t="s">
        <v>460</v>
      </c>
      <c r="D69" s="134">
        <f>+D29+D30</f>
        <v>0</v>
      </c>
      <c r="E69" s="134">
        <f>+E29+E30</f>
        <v>0</v>
      </c>
      <c r="M69" s="131"/>
    </row>
    <row r="70" spans="2:13" ht="75" x14ac:dyDescent="0.25">
      <c r="B70" s="33">
        <v>30</v>
      </c>
      <c r="C70" s="64" t="s">
        <v>461</v>
      </c>
      <c r="D70" s="132">
        <f>+D55-D69-D68</f>
        <v>9971409</v>
      </c>
      <c r="E70" s="132">
        <f>+E55-E69-E68</f>
        <v>9795999.9970000014</v>
      </c>
      <c r="M70" s="34"/>
    </row>
    <row r="71" spans="2:13" ht="75" x14ac:dyDescent="0.25">
      <c r="B71" s="33" t="s">
        <v>462</v>
      </c>
      <c r="C71" s="64" t="s">
        <v>463</v>
      </c>
      <c r="D71" s="132">
        <f>+D55-D69+D68-'8'!D10</f>
        <v>9971409</v>
      </c>
      <c r="E71" s="132">
        <f>+E55-E69+E68-'8'!E10</f>
        <v>9795999.9970000014</v>
      </c>
      <c r="M71" s="34"/>
    </row>
    <row r="72" spans="2:13" ht="75" x14ac:dyDescent="0.25">
      <c r="B72" s="10">
        <v>31</v>
      </c>
      <c r="C72" s="9" t="s">
        <v>464</v>
      </c>
      <c r="D72" s="157">
        <f>+D54/D70*100</f>
        <v>10.601065987765621</v>
      </c>
      <c r="E72" s="157">
        <f>+E54/E70*100</f>
        <v>10.769555730125424</v>
      </c>
      <c r="M72" s="131"/>
    </row>
    <row r="73" spans="2:13" ht="75" x14ac:dyDescent="0.25">
      <c r="B73" s="10" t="s">
        <v>465</v>
      </c>
      <c r="C73" s="9" t="s">
        <v>466</v>
      </c>
      <c r="D73" s="157">
        <f>+D54/D71*100</f>
        <v>10.601065987765621</v>
      </c>
      <c r="E73" s="157">
        <f>+E54/E71*100</f>
        <v>10.769555730125424</v>
      </c>
      <c r="M73" s="131"/>
    </row>
  </sheetData>
  <mergeCells count="11">
    <mergeCell ref="B41:E41"/>
    <mergeCell ref="B53:E53"/>
    <mergeCell ref="B56:E56"/>
    <mergeCell ref="B65:E65"/>
    <mergeCell ref="B67:E67"/>
    <mergeCell ref="B36:E36"/>
    <mergeCell ref="D5:E5"/>
    <mergeCell ref="B6:C7"/>
    <mergeCell ref="B8:E8"/>
    <mergeCell ref="B16:E16"/>
    <mergeCell ref="B28:E28"/>
  </mergeCells>
  <hyperlinks>
    <hyperlink ref="B2" location="Indhold!B15" display="Skema EU LR2 - LRCom Oplysninger om gearingsgrad — fælles regler" xr:uid="{2CD97A45-9591-452A-B5EE-71D9690125D6}"/>
  </hyperlinks>
  <pageMargins left="0.70866141732283472" right="0.70866141732283472" top="0.74803149606299213" bottom="0.74803149606299213" header="0.31496062992125984" footer="0.31496062992125984"/>
  <pageSetup paperSize="9" fitToHeight="0" orientation="landscape" verticalDpi="1200" r:id="rId1"/>
  <headerFooter>
    <oddHeader>&amp;CDA 
Bilag XI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7DC8-A496-47A1-9776-F5A28BE4B312}">
  <dimension ref="B2:D18"/>
  <sheetViews>
    <sheetView showGridLines="0" zoomScaleNormal="100" workbookViewId="0">
      <selection activeCell="B2" sqref="B2"/>
    </sheetView>
  </sheetViews>
  <sheetFormatPr defaultColWidth="9.140625" defaultRowHeight="15" x14ac:dyDescent="0.25"/>
  <cols>
    <col min="3" max="3" width="106.28515625" customWidth="1"/>
    <col min="4" max="4" width="34.85546875" customWidth="1"/>
  </cols>
  <sheetData>
    <row r="2" spans="2:4" ht="18.75" customHeight="1" x14ac:dyDescent="0.3">
      <c r="B2" s="878" t="s">
        <v>467</v>
      </c>
      <c r="C2" s="422"/>
      <c r="D2" s="422"/>
    </row>
    <row r="3" spans="2:4" ht="15" customHeight="1" x14ac:dyDescent="0.3">
      <c r="B3" s="422"/>
      <c r="C3" s="422"/>
      <c r="D3" s="422"/>
    </row>
    <row r="4" spans="2:4" ht="15" customHeight="1" x14ac:dyDescent="0.3">
      <c r="B4" s="458"/>
      <c r="C4" s="458"/>
      <c r="D4" s="458"/>
    </row>
    <row r="5" spans="2:4" x14ac:dyDescent="0.25">
      <c r="B5" s="815"/>
      <c r="C5" s="817"/>
      <c r="D5" s="814" t="s">
        <v>1431</v>
      </c>
    </row>
    <row r="6" spans="2:4" ht="30" x14ac:dyDescent="0.25">
      <c r="B6" s="816"/>
      <c r="C6" s="818"/>
      <c r="D6" s="814" t="s">
        <v>380</v>
      </c>
    </row>
    <row r="7" spans="2:4" x14ac:dyDescent="0.25">
      <c r="B7" s="512" t="s">
        <v>468</v>
      </c>
      <c r="C7" s="512" t="s">
        <v>469</v>
      </c>
      <c r="D7" s="513">
        <f>+D8+D9</f>
        <v>8590923</v>
      </c>
    </row>
    <row r="8" spans="2:4" x14ac:dyDescent="0.25">
      <c r="B8" s="143" t="s">
        <v>470</v>
      </c>
      <c r="C8" s="158" t="s">
        <v>471</v>
      </c>
      <c r="D8" s="132">
        <v>2897618</v>
      </c>
    </row>
    <row r="9" spans="2:4" x14ac:dyDescent="0.25">
      <c r="B9" s="143" t="s">
        <v>472</v>
      </c>
      <c r="C9" s="158" t="s">
        <v>473</v>
      </c>
      <c r="D9" s="159">
        <f>+D10+D11+D12+D13+D14+D15+D16+D17+D18</f>
        <v>5693305</v>
      </c>
    </row>
    <row r="10" spans="2:4" x14ac:dyDescent="0.25">
      <c r="B10" s="143" t="s">
        <v>474</v>
      </c>
      <c r="C10" s="158" t="s">
        <v>475</v>
      </c>
      <c r="D10" s="159">
        <v>0</v>
      </c>
    </row>
    <row r="11" spans="2:4" x14ac:dyDescent="0.25">
      <c r="B11" s="143" t="s">
        <v>476</v>
      </c>
      <c r="C11" s="158" t="s">
        <v>477</v>
      </c>
      <c r="D11" s="159">
        <f>1217186000/1000</f>
        <v>1217186</v>
      </c>
    </row>
    <row r="12" spans="2:4" ht="30" x14ac:dyDescent="0.25">
      <c r="B12" s="143" t="s">
        <v>478</v>
      </c>
      <c r="C12" s="160" t="s">
        <v>479</v>
      </c>
      <c r="D12" s="159">
        <v>0</v>
      </c>
    </row>
    <row r="13" spans="2:4" x14ac:dyDescent="0.25">
      <c r="B13" s="143" t="s">
        <v>480</v>
      </c>
      <c r="C13" s="158" t="s">
        <v>481</v>
      </c>
      <c r="D13" s="159">
        <f>174104000/1000</f>
        <v>174104</v>
      </c>
    </row>
    <row r="14" spans="2:4" x14ac:dyDescent="0.25">
      <c r="B14" s="143" t="s">
        <v>482</v>
      </c>
      <c r="C14" s="158" t="s">
        <v>483</v>
      </c>
      <c r="D14" s="159">
        <f>819427000/1000</f>
        <v>819427</v>
      </c>
    </row>
    <row r="15" spans="2:4" x14ac:dyDescent="0.25">
      <c r="B15" s="143" t="s">
        <v>484</v>
      </c>
      <c r="C15" s="158" t="s">
        <v>485</v>
      </c>
      <c r="D15" s="159">
        <f>826344000/1000</f>
        <v>826344</v>
      </c>
    </row>
    <row r="16" spans="2:4" x14ac:dyDescent="0.25">
      <c r="B16" s="143" t="s">
        <v>486</v>
      </c>
      <c r="C16" s="160" t="s">
        <v>487</v>
      </c>
      <c r="D16" s="159">
        <f>1389055000/1000</f>
        <v>1389055</v>
      </c>
    </row>
    <row r="17" spans="2:4" x14ac:dyDescent="0.25">
      <c r="B17" s="143" t="s">
        <v>488</v>
      </c>
      <c r="C17" s="158" t="s">
        <v>489</v>
      </c>
      <c r="D17" s="159">
        <f>209779000/1000</f>
        <v>209779</v>
      </c>
    </row>
    <row r="18" spans="2:4" x14ac:dyDescent="0.25">
      <c r="B18" s="143" t="s">
        <v>490</v>
      </c>
      <c r="C18" s="158" t="s">
        <v>491</v>
      </c>
      <c r="D18" s="159">
        <f>1057410000/1000</f>
        <v>1057410</v>
      </c>
    </row>
  </sheetData>
  <hyperlinks>
    <hyperlink ref="B2" location="Indhold!B16" display="Skema EU LR3 - LRSpl: Opdeling af balanceførte eksponeringer (ekskl. derivater, SFT'er og ikke medregnede eksponeringer)" xr:uid="{3933BF9E-9444-43D5-A737-C1DCD541E63D}"/>
  </hyperlinks>
  <pageMargins left="0.70866141732283472" right="0.70866141732283472" top="0.74803149606299213" bottom="0.74803149606299213" header="0.31496062992125984" footer="0.31496062992125984"/>
  <pageSetup paperSize="9" orientation="landscape" verticalDpi="1200" r:id="rId1"/>
  <headerFooter>
    <oddHeader>&amp;CDA 
Bilag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0D3AF-1543-44FB-A037-DEF7B736506F}">
  <dimension ref="A2:K47"/>
  <sheetViews>
    <sheetView showGridLines="0" zoomScaleNormal="100" workbookViewId="0">
      <selection activeCell="B2" sqref="B2"/>
    </sheetView>
  </sheetViews>
  <sheetFormatPr defaultColWidth="9.140625" defaultRowHeight="15" x14ac:dyDescent="0.25"/>
  <cols>
    <col min="1" max="1" width="6.42578125" customWidth="1"/>
    <col min="2" max="2" width="10.28515625" customWidth="1"/>
    <col min="3" max="3" width="55.140625" customWidth="1"/>
    <col min="4" max="4" width="11" bestFit="1" customWidth="1"/>
    <col min="5" max="5" width="10.140625" customWidth="1"/>
    <col min="6" max="11" width="11" bestFit="1" customWidth="1"/>
  </cols>
  <sheetData>
    <row r="2" spans="1:11" ht="18.75" x14ac:dyDescent="0.3">
      <c r="B2" s="422" t="s">
        <v>492</v>
      </c>
    </row>
    <row r="3" spans="1:11" ht="15" customHeight="1" x14ac:dyDescent="0.25">
      <c r="A3" s="161"/>
    </row>
    <row r="4" spans="1:11" ht="15" customHeight="1" x14ac:dyDescent="0.25">
      <c r="A4" s="161"/>
      <c r="C4" s="162"/>
    </row>
    <row r="5" spans="1:11" x14ac:dyDescent="0.25">
      <c r="B5" s="985" t="s">
        <v>1431</v>
      </c>
      <c r="C5" s="986"/>
      <c r="D5" s="515" t="s">
        <v>105</v>
      </c>
      <c r="E5" s="515" t="s">
        <v>104</v>
      </c>
      <c r="F5" s="515" t="s">
        <v>99</v>
      </c>
      <c r="G5" s="515" t="s">
        <v>98</v>
      </c>
      <c r="H5" s="515" t="s">
        <v>97</v>
      </c>
      <c r="I5" s="515" t="s">
        <v>113</v>
      </c>
      <c r="J5" s="515" t="s">
        <v>114</v>
      </c>
      <c r="K5" s="515" t="s">
        <v>169</v>
      </c>
    </row>
    <row r="6" spans="1:11" x14ac:dyDescent="0.25">
      <c r="B6" s="987"/>
      <c r="C6" s="988"/>
      <c r="D6" s="927" t="s">
        <v>493</v>
      </c>
      <c r="E6" s="927"/>
      <c r="F6" s="927"/>
      <c r="G6" s="927"/>
      <c r="H6" s="927" t="s">
        <v>494</v>
      </c>
      <c r="I6" s="927"/>
      <c r="J6" s="927"/>
      <c r="K6" s="927"/>
    </row>
    <row r="7" spans="1:11" ht="30" x14ac:dyDescent="0.25">
      <c r="B7" s="472" t="s">
        <v>495</v>
      </c>
      <c r="C7" s="472" t="s">
        <v>496</v>
      </c>
      <c r="D7" s="470" t="s">
        <v>1509</v>
      </c>
      <c r="E7" s="470" t="s">
        <v>1510</v>
      </c>
      <c r="F7" s="470" t="s">
        <v>1511</v>
      </c>
      <c r="G7" s="470" t="s">
        <v>1512</v>
      </c>
      <c r="H7" s="470" t="s">
        <v>1509</v>
      </c>
      <c r="I7" s="470" t="s">
        <v>1510</v>
      </c>
      <c r="J7" s="470" t="s">
        <v>1511</v>
      </c>
      <c r="K7" s="470" t="s">
        <v>1512</v>
      </c>
    </row>
    <row r="8" spans="1:11" ht="30" x14ac:dyDescent="0.25">
      <c r="B8" s="472" t="s">
        <v>498</v>
      </c>
      <c r="C8" s="472" t="s">
        <v>499</v>
      </c>
      <c r="D8" s="516">
        <v>12</v>
      </c>
      <c r="E8" s="516">
        <v>12</v>
      </c>
      <c r="F8" s="516">
        <v>12</v>
      </c>
      <c r="G8" s="516">
        <v>12</v>
      </c>
      <c r="H8" s="516">
        <v>12</v>
      </c>
      <c r="I8" s="516">
        <v>12</v>
      </c>
      <c r="J8" s="516">
        <v>12</v>
      </c>
      <c r="K8" s="516">
        <v>12</v>
      </c>
    </row>
    <row r="9" spans="1:11" x14ac:dyDescent="0.25">
      <c r="B9" s="978" t="s">
        <v>500</v>
      </c>
      <c r="C9" s="979"/>
      <c r="D9" s="979"/>
      <c r="E9" s="979"/>
      <c r="F9" s="979"/>
      <c r="G9" s="979"/>
      <c r="H9" s="979"/>
      <c r="I9" s="979"/>
      <c r="J9" s="979"/>
      <c r="K9" s="980"/>
    </row>
    <row r="10" spans="1:11" x14ac:dyDescent="0.25">
      <c r="B10" s="146">
        <v>1</v>
      </c>
      <c r="C10" s="143" t="s">
        <v>501</v>
      </c>
      <c r="D10" s="981"/>
      <c r="E10" s="981"/>
      <c r="F10" s="981"/>
      <c r="G10" s="981"/>
      <c r="H10" s="163">
        <f>3421524775/1000</f>
        <v>3421524.7749999999</v>
      </c>
      <c r="I10" s="163">
        <f>3378643991/1000</f>
        <v>3378643.9909999999</v>
      </c>
      <c r="J10" s="163">
        <f>3544504108/1000</f>
        <v>3544504.108</v>
      </c>
      <c r="K10" s="163">
        <f>3731280056/1000</f>
        <v>3731280.0559999999</v>
      </c>
    </row>
    <row r="11" spans="1:11" x14ac:dyDescent="0.25">
      <c r="B11" s="982" t="s">
        <v>502</v>
      </c>
      <c r="C11" s="983"/>
      <c r="D11" s="983"/>
      <c r="E11" s="983"/>
      <c r="F11" s="983"/>
      <c r="G11" s="983"/>
      <c r="H11" s="983"/>
      <c r="I11" s="983"/>
      <c r="J11" s="983"/>
      <c r="K11" s="984"/>
    </row>
    <row r="12" spans="1:11" x14ac:dyDescent="0.25">
      <c r="B12" s="146">
        <v>2</v>
      </c>
      <c r="C12" s="143" t="s">
        <v>503</v>
      </c>
      <c r="D12" s="163">
        <f>6221302827/1000</f>
        <v>6221302.8269999996</v>
      </c>
      <c r="E12" s="163">
        <f>6098882812/1000</f>
        <v>6098882.8119999999</v>
      </c>
      <c r="F12" s="163">
        <f>5989962334/1000</f>
        <v>5989962.3339999998</v>
      </c>
      <c r="G12" s="163">
        <f>5897188553/1000</f>
        <v>5897188.5530000003</v>
      </c>
      <c r="H12" s="163">
        <f>406524341/1000</f>
        <v>406524.34100000001</v>
      </c>
      <c r="I12" s="163">
        <f>393651741/1000</f>
        <v>393651.74099999998</v>
      </c>
      <c r="J12" s="163">
        <f>382088943/1000</f>
        <v>382088.94300000003</v>
      </c>
      <c r="K12" s="163">
        <f>373007553/1000</f>
        <v>373007.55300000001</v>
      </c>
    </row>
    <row r="13" spans="1:11" x14ac:dyDescent="0.25">
      <c r="B13" s="146">
        <v>3</v>
      </c>
      <c r="C13" s="164" t="s">
        <v>504</v>
      </c>
      <c r="D13" s="163">
        <f>4743735098/1000</f>
        <v>4743735.0980000002</v>
      </c>
      <c r="E13" s="163">
        <f>4703712333/1000</f>
        <v>4703712.3329999996</v>
      </c>
      <c r="F13" s="163">
        <f>4665234831/1000</f>
        <v>4665234.8310000002</v>
      </c>
      <c r="G13" s="163">
        <f>4633330714/1000</f>
        <v>4633330.7139999997</v>
      </c>
      <c r="H13" s="163">
        <f>237186755/1000</f>
        <v>237186.755</v>
      </c>
      <c r="I13" s="163">
        <f>235185617/1000</f>
        <v>235185.617</v>
      </c>
      <c r="J13" s="163">
        <f>233261742/1000</f>
        <v>233261.742</v>
      </c>
      <c r="K13" s="163">
        <f>213846033/1000</f>
        <v>213846.033</v>
      </c>
    </row>
    <row r="14" spans="1:11" x14ac:dyDescent="0.25">
      <c r="B14" s="146">
        <v>4</v>
      </c>
      <c r="C14" s="164" t="s">
        <v>505</v>
      </c>
      <c r="D14" s="163">
        <f>1476010329/1000</f>
        <v>1476010.3289999999</v>
      </c>
      <c r="E14" s="163">
        <f>1393911066/1000</f>
        <v>1393911.0660000001</v>
      </c>
      <c r="F14" s="163">
        <f>1324356175/1000</f>
        <v>1324356.175</v>
      </c>
      <c r="G14" s="163">
        <f>1263748111/1000</f>
        <v>1263748.111</v>
      </c>
      <c r="H14" s="163">
        <f>167780185/1000</f>
        <v>167780.185</v>
      </c>
      <c r="I14" s="163">
        <f>157206712/1000</f>
        <v>157206.712</v>
      </c>
      <c r="J14" s="163">
        <f>148455874/1000</f>
        <v>148455.87400000001</v>
      </c>
      <c r="K14" s="163">
        <f>141231289/1000</f>
        <v>141231.28899999999</v>
      </c>
    </row>
    <row r="15" spans="1:11" x14ac:dyDescent="0.25">
      <c r="B15" s="146">
        <v>5</v>
      </c>
      <c r="C15" s="143" t="s">
        <v>506</v>
      </c>
      <c r="D15" s="163">
        <f>1004123147/1000</f>
        <v>1004123.147</v>
      </c>
      <c r="E15" s="163">
        <f>988781922/1000</f>
        <v>988781.92200000002</v>
      </c>
      <c r="F15" s="163">
        <f>1071592739/1000</f>
        <v>1071592.7390000001</v>
      </c>
      <c r="G15" s="163">
        <f>1172483534/1000</f>
        <v>1172483.534</v>
      </c>
      <c r="H15" s="163">
        <f>558553475/1000</f>
        <v>558553.47499999998</v>
      </c>
      <c r="I15" s="163">
        <f>556944849/1000</f>
        <v>556944.84900000005</v>
      </c>
      <c r="J15" s="163">
        <f>612891253/1000</f>
        <v>612891.25300000003</v>
      </c>
      <c r="K15" s="163">
        <f>671119139/1000</f>
        <v>671119.13899999997</v>
      </c>
    </row>
    <row r="16" spans="1:11" ht="30" x14ac:dyDescent="0.25">
      <c r="B16" s="146">
        <v>6</v>
      </c>
      <c r="C16" s="164" t="s">
        <v>507</v>
      </c>
      <c r="D16" s="163">
        <v>0</v>
      </c>
      <c r="E16" s="163">
        <v>0</v>
      </c>
      <c r="F16" s="163">
        <v>0</v>
      </c>
      <c r="G16" s="163">
        <v>0</v>
      </c>
      <c r="H16" s="163"/>
      <c r="I16" s="163">
        <v>0</v>
      </c>
      <c r="J16" s="163">
        <v>0</v>
      </c>
      <c r="K16" s="163">
        <v>0</v>
      </c>
    </row>
    <row r="17" spans="2:11" x14ac:dyDescent="0.25">
      <c r="B17" s="146">
        <v>7</v>
      </c>
      <c r="C17" s="164" t="s">
        <v>508</v>
      </c>
      <c r="D17" s="876">
        <f>1004123147/1000</f>
        <v>1004123.147</v>
      </c>
      <c r="E17" s="876">
        <f>988781922/1000</f>
        <v>988781.92200000002</v>
      </c>
      <c r="F17" s="876">
        <f>1071592739/1000</f>
        <v>1071592.7390000001</v>
      </c>
      <c r="G17" s="876">
        <f>1172483534/1000</f>
        <v>1172483.534</v>
      </c>
      <c r="H17" s="876">
        <f>558553475/1000</f>
        <v>558553.47499999998</v>
      </c>
      <c r="I17" s="876">
        <f>556944849/1000</f>
        <v>556944.84900000005</v>
      </c>
      <c r="J17" s="876">
        <f>612891253/1000</f>
        <v>612891.25300000003</v>
      </c>
      <c r="K17" s="876">
        <f>671119139/1000</f>
        <v>671119.13899999997</v>
      </c>
    </row>
    <row r="18" spans="2:11" x14ac:dyDescent="0.25">
      <c r="B18" s="146">
        <v>8</v>
      </c>
      <c r="C18" s="164" t="s">
        <v>509</v>
      </c>
      <c r="D18" s="163">
        <v>0</v>
      </c>
      <c r="E18" s="163">
        <v>0</v>
      </c>
      <c r="F18" s="163">
        <v>0</v>
      </c>
      <c r="G18" s="163">
        <v>0</v>
      </c>
      <c r="H18" s="163">
        <v>0</v>
      </c>
      <c r="I18" s="163">
        <v>0</v>
      </c>
      <c r="J18" s="163">
        <v>0</v>
      </c>
      <c r="K18" s="163">
        <v>0</v>
      </c>
    </row>
    <row r="19" spans="2:11" x14ac:dyDescent="0.25">
      <c r="B19" s="146">
        <v>9</v>
      </c>
      <c r="C19" s="164" t="s">
        <v>510</v>
      </c>
      <c r="D19" s="977"/>
      <c r="E19" s="977"/>
      <c r="F19" s="977"/>
      <c r="G19" s="977"/>
      <c r="H19" s="165">
        <v>0</v>
      </c>
      <c r="I19" s="165">
        <v>0</v>
      </c>
      <c r="J19" s="165">
        <v>0</v>
      </c>
      <c r="K19" s="165">
        <v>0</v>
      </c>
    </row>
    <row r="20" spans="2:11" x14ac:dyDescent="0.25">
      <c r="B20" s="146">
        <v>10</v>
      </c>
      <c r="C20" s="143" t="s">
        <v>511</v>
      </c>
      <c r="D20" s="163">
        <f>2488390593/1000</f>
        <v>2488390.5929999999</v>
      </c>
      <c r="E20" s="163">
        <f>2453599589/1000</f>
        <v>2453599.5890000002</v>
      </c>
      <c r="F20" s="163">
        <f>2408488657/1000</f>
        <v>2408488.6570000001</v>
      </c>
      <c r="G20" s="163">
        <f>2451538125/1000</f>
        <v>2451538.125</v>
      </c>
      <c r="H20" s="163">
        <f>236922758/1000</f>
        <v>236922.758</v>
      </c>
      <c r="I20" s="163">
        <f>239601524/1000</f>
        <v>239601.524</v>
      </c>
      <c r="J20" s="163">
        <f>241398591/1000</f>
        <v>241398.59099999999</v>
      </c>
      <c r="K20" s="163">
        <f>242009678/1000</f>
        <v>242009.67800000001</v>
      </c>
    </row>
    <row r="21" spans="2:11" ht="30" x14ac:dyDescent="0.25">
      <c r="B21" s="146">
        <v>11</v>
      </c>
      <c r="C21" s="164" t="s">
        <v>512</v>
      </c>
      <c r="D21" s="163">
        <f>210630/1000</f>
        <v>210.63</v>
      </c>
      <c r="E21" s="163">
        <f>188329/1000</f>
        <v>188.32900000000001</v>
      </c>
      <c r="F21" s="163">
        <f>77047/1000</f>
        <v>77.046999999999997</v>
      </c>
      <c r="G21" s="163">
        <v>11.712999999999999</v>
      </c>
      <c r="H21" s="163">
        <f>229778/1000</f>
        <v>229.77799999999999</v>
      </c>
      <c r="I21" s="163">
        <f>282494/1000</f>
        <v>282.49400000000003</v>
      </c>
      <c r="J21" s="163">
        <f>184912/1000</f>
        <v>184.91200000000001</v>
      </c>
      <c r="K21" s="163">
        <f>46850/1000</f>
        <v>46.85</v>
      </c>
    </row>
    <row r="22" spans="2:11" ht="30" x14ac:dyDescent="0.25">
      <c r="B22" s="146">
        <v>12</v>
      </c>
      <c r="C22" s="164" t="s">
        <v>513</v>
      </c>
      <c r="D22" s="163">
        <v>0</v>
      </c>
      <c r="E22" s="163">
        <v>0</v>
      </c>
      <c r="F22" s="163">
        <v>0</v>
      </c>
      <c r="G22" s="163">
        <v>0</v>
      </c>
      <c r="H22" s="163">
        <v>0</v>
      </c>
      <c r="I22" s="163">
        <v>0</v>
      </c>
      <c r="J22" s="163">
        <v>0</v>
      </c>
      <c r="K22" s="163">
        <v>0</v>
      </c>
    </row>
    <row r="23" spans="2:11" x14ac:dyDescent="0.25">
      <c r="B23" s="146">
        <v>13</v>
      </c>
      <c r="C23" s="164" t="s">
        <v>514</v>
      </c>
      <c r="D23" s="163">
        <f>2488179964/1000</f>
        <v>2488179.9640000002</v>
      </c>
      <c r="E23" s="163">
        <f>2453411259/1000</f>
        <v>2453411.2590000001</v>
      </c>
      <c r="F23" s="163">
        <f>2408411610/1000</f>
        <v>2408411.61</v>
      </c>
      <c r="G23" s="163">
        <f>2451526412/1000</f>
        <v>2451526.412</v>
      </c>
      <c r="H23" s="163">
        <f>236692980/1000</f>
        <v>236692.98</v>
      </c>
      <c r="I23" s="163">
        <f>239319030/1000</f>
        <v>239319.03</v>
      </c>
      <c r="J23" s="163">
        <f>241213679/1000</f>
        <v>241213.679</v>
      </c>
      <c r="K23" s="163">
        <f>241962828/1000</f>
        <v>241962.82800000001</v>
      </c>
    </row>
    <row r="24" spans="2:11" x14ac:dyDescent="0.25">
      <c r="B24" s="146">
        <v>14</v>
      </c>
      <c r="C24" s="143" t="s">
        <v>515</v>
      </c>
      <c r="D24" s="163">
        <f>16270269/1000</f>
        <v>16270.269</v>
      </c>
      <c r="E24" s="163">
        <f>18299757/1000</f>
        <v>18299.757000000001</v>
      </c>
      <c r="F24" s="163">
        <f>18634444/1000</f>
        <v>18634.444</v>
      </c>
      <c r="G24" s="163">
        <f>17841144/1000</f>
        <v>17841.144</v>
      </c>
      <c r="H24" s="163">
        <v>0</v>
      </c>
      <c r="I24" s="163">
        <v>0</v>
      </c>
      <c r="J24" s="163">
        <v>0</v>
      </c>
      <c r="K24" s="163">
        <v>0</v>
      </c>
    </row>
    <row r="25" spans="2:11" x14ac:dyDescent="0.25">
      <c r="B25" s="146">
        <v>15</v>
      </c>
      <c r="C25" s="143" t="s">
        <v>516</v>
      </c>
      <c r="D25" s="163">
        <f>1434102/1000</f>
        <v>1434.1020000000001</v>
      </c>
      <c r="E25" s="163">
        <f>5784943/1000</f>
        <v>5784.9430000000002</v>
      </c>
      <c r="F25" s="163">
        <f>9936169/1000</f>
        <v>9936.1689999999999</v>
      </c>
      <c r="G25" s="163">
        <f>13661645/1000</f>
        <v>13661.645</v>
      </c>
      <c r="H25" s="163">
        <v>0</v>
      </c>
      <c r="I25" s="163">
        <v>0</v>
      </c>
      <c r="J25" s="163">
        <v>0</v>
      </c>
      <c r="K25" s="163">
        <v>0</v>
      </c>
    </row>
    <row r="26" spans="2:11" x14ac:dyDescent="0.25">
      <c r="B26" s="146">
        <v>16</v>
      </c>
      <c r="C26" s="143" t="s">
        <v>517</v>
      </c>
      <c r="D26" s="989"/>
      <c r="E26" s="989"/>
      <c r="F26" s="989"/>
      <c r="G26" s="989"/>
      <c r="H26" s="163">
        <f>1201981425/1000</f>
        <v>1201981.425</v>
      </c>
      <c r="I26" s="163">
        <f>1190103950/1000</f>
        <v>1190103.95</v>
      </c>
      <c r="J26" s="163">
        <f>1236270922/1000</f>
        <v>1236270.922</v>
      </c>
      <c r="K26" s="163">
        <f>1286101233/1000</f>
        <v>1286101.233</v>
      </c>
    </row>
    <row r="27" spans="2:11" x14ac:dyDescent="0.25">
      <c r="B27" s="990"/>
      <c r="C27" s="990"/>
      <c r="D27" s="990"/>
      <c r="E27" s="990"/>
      <c r="F27" s="990"/>
      <c r="G27" s="990"/>
      <c r="H27" s="990"/>
      <c r="I27" s="990"/>
      <c r="J27" s="990"/>
      <c r="K27" s="990"/>
    </row>
    <row r="28" spans="2:11" x14ac:dyDescent="0.25">
      <c r="B28" s="146">
        <v>17</v>
      </c>
      <c r="C28" s="143" t="s">
        <v>518</v>
      </c>
      <c r="D28" s="163">
        <v>0</v>
      </c>
      <c r="E28" s="163">
        <v>0</v>
      </c>
      <c r="F28" s="163">
        <v>0</v>
      </c>
      <c r="G28" s="163">
        <v>0</v>
      </c>
      <c r="H28" s="163">
        <v>0</v>
      </c>
      <c r="I28" s="163">
        <v>0</v>
      </c>
      <c r="J28" s="163">
        <v>0</v>
      </c>
      <c r="K28" s="163">
        <v>0</v>
      </c>
    </row>
    <row r="29" spans="2:11" ht="30" x14ac:dyDescent="0.25">
      <c r="B29" s="146">
        <v>18</v>
      </c>
      <c r="C29" s="143" t="s">
        <v>519</v>
      </c>
      <c r="D29" s="163">
        <f>188570023/1000</f>
        <v>188570.02299999999</v>
      </c>
      <c r="E29" s="163">
        <f>116996527/1000</f>
        <v>116996.527</v>
      </c>
      <c r="F29" s="163">
        <f>108318018/1000</f>
        <v>108318.018</v>
      </c>
      <c r="G29" s="163">
        <f>122576557/1000</f>
        <v>122576.557</v>
      </c>
      <c r="H29" s="163">
        <f>110320719/1000</f>
        <v>110320.719</v>
      </c>
      <c r="I29" s="163">
        <f>107528639/1000</f>
        <v>107528.639</v>
      </c>
      <c r="J29" s="163">
        <f>98423795/1000</f>
        <v>98423.794999999998</v>
      </c>
      <c r="K29" s="163">
        <f>112899047/1000</f>
        <v>112899.04700000001</v>
      </c>
    </row>
    <row r="30" spans="2:11" x14ac:dyDescent="0.25">
      <c r="B30" s="146">
        <v>19</v>
      </c>
      <c r="C30" s="143" t="s">
        <v>520</v>
      </c>
      <c r="D30" s="163">
        <f>456281848/1000</f>
        <v>456281.848</v>
      </c>
      <c r="E30" s="163">
        <f>402266496/1000</f>
        <v>402266.49599999998</v>
      </c>
      <c r="F30" s="163">
        <f>363888460/1000</f>
        <v>363888.46</v>
      </c>
      <c r="G30" s="163">
        <f>360223466/1000</f>
        <v>360223.46600000001</v>
      </c>
      <c r="H30" s="163">
        <f>92767100/1000</f>
        <v>92767.1</v>
      </c>
      <c r="I30" s="163">
        <f>81425952/1000</f>
        <v>81425.952000000005</v>
      </c>
      <c r="J30" s="163">
        <f>74644830/1000</f>
        <v>74644.83</v>
      </c>
      <c r="K30" s="163">
        <f>75038586/1000</f>
        <v>75038.585999999996</v>
      </c>
    </row>
    <row r="31" spans="2:11" x14ac:dyDescent="0.25">
      <c r="B31" s="991" t="s">
        <v>521</v>
      </c>
      <c r="C31" s="992" t="s">
        <v>522</v>
      </c>
      <c r="D31" s="989"/>
      <c r="E31" s="989"/>
      <c r="F31" s="989"/>
      <c r="G31" s="989"/>
      <c r="H31" s="993">
        <v>0</v>
      </c>
      <c r="I31" s="993">
        <v>0</v>
      </c>
      <c r="J31" s="993">
        <v>0</v>
      </c>
      <c r="K31" s="993">
        <v>0</v>
      </c>
    </row>
    <row r="32" spans="2:11" x14ac:dyDescent="0.25">
      <c r="B32" s="991"/>
      <c r="C32" s="992"/>
      <c r="D32" s="989"/>
      <c r="E32" s="989"/>
      <c r="F32" s="989"/>
      <c r="G32" s="989"/>
      <c r="H32" s="993"/>
      <c r="I32" s="993"/>
      <c r="J32" s="993"/>
      <c r="K32" s="993"/>
    </row>
    <row r="33" spans="2:11" x14ac:dyDescent="0.25">
      <c r="B33" s="991" t="s">
        <v>523</v>
      </c>
      <c r="C33" s="992" t="s">
        <v>524</v>
      </c>
      <c r="D33" s="989"/>
      <c r="E33" s="989"/>
      <c r="F33" s="989"/>
      <c r="G33" s="989"/>
      <c r="H33" s="993">
        <v>0</v>
      </c>
      <c r="I33" s="993">
        <v>0</v>
      </c>
      <c r="J33" s="993">
        <v>0</v>
      </c>
      <c r="K33" s="993">
        <v>0</v>
      </c>
    </row>
    <row r="34" spans="2:11" x14ac:dyDescent="0.25">
      <c r="B34" s="991"/>
      <c r="C34" s="992"/>
      <c r="D34" s="989"/>
      <c r="E34" s="989"/>
      <c r="F34" s="989"/>
      <c r="G34" s="989"/>
      <c r="H34" s="993"/>
      <c r="I34" s="993"/>
      <c r="J34" s="993"/>
      <c r="K34" s="993"/>
    </row>
    <row r="35" spans="2:11" x14ac:dyDescent="0.25">
      <c r="B35" s="146">
        <v>20</v>
      </c>
      <c r="C35" s="143" t="s">
        <v>525</v>
      </c>
      <c r="D35" s="163">
        <f>+D29+D30</f>
        <v>644851.87100000004</v>
      </c>
      <c r="E35" s="163">
        <f t="shared" ref="E35:K35" si="0">+E29+E30</f>
        <v>519263.02299999999</v>
      </c>
      <c r="F35" s="163">
        <f t="shared" si="0"/>
        <v>472206.478</v>
      </c>
      <c r="G35" s="163">
        <f t="shared" si="0"/>
        <v>482800.02300000004</v>
      </c>
      <c r="H35" s="163">
        <f t="shared" si="0"/>
        <v>203087.81900000002</v>
      </c>
      <c r="I35" s="163">
        <f t="shared" si="0"/>
        <v>188954.59100000001</v>
      </c>
      <c r="J35" s="163">
        <f t="shared" si="0"/>
        <v>173068.625</v>
      </c>
      <c r="K35" s="163">
        <f t="shared" si="0"/>
        <v>187937.633</v>
      </c>
    </row>
    <row r="36" spans="2:11" x14ac:dyDescent="0.25">
      <c r="B36" s="991" t="s">
        <v>230</v>
      </c>
      <c r="C36" s="994" t="s">
        <v>526</v>
      </c>
      <c r="D36" s="993">
        <v>0</v>
      </c>
      <c r="E36" s="993">
        <v>0</v>
      </c>
      <c r="F36" s="993">
        <v>0</v>
      </c>
      <c r="G36" s="993">
        <v>0</v>
      </c>
      <c r="H36" s="993">
        <v>0</v>
      </c>
      <c r="I36" s="993">
        <v>0</v>
      </c>
      <c r="J36" s="993">
        <v>0</v>
      </c>
      <c r="K36" s="993">
        <v>0</v>
      </c>
    </row>
    <row r="37" spans="2:11" x14ac:dyDescent="0.25">
      <c r="B37" s="991"/>
      <c r="C37" s="994"/>
      <c r="D37" s="993"/>
      <c r="E37" s="993"/>
      <c r="F37" s="993"/>
      <c r="G37" s="993"/>
      <c r="H37" s="993"/>
      <c r="I37" s="993"/>
      <c r="J37" s="993"/>
      <c r="K37" s="993"/>
    </row>
    <row r="38" spans="2:11" x14ac:dyDescent="0.25">
      <c r="B38" s="991" t="s">
        <v>232</v>
      </c>
      <c r="C38" s="994" t="s">
        <v>527</v>
      </c>
      <c r="D38" s="993">
        <v>0</v>
      </c>
      <c r="E38" s="993">
        <v>0</v>
      </c>
      <c r="F38" s="993">
        <v>0</v>
      </c>
      <c r="G38" s="993">
        <v>0</v>
      </c>
      <c r="H38" s="993">
        <v>0</v>
      </c>
      <c r="I38" s="993">
        <v>0</v>
      </c>
      <c r="J38" s="993">
        <v>0</v>
      </c>
      <c r="K38" s="993">
        <v>0</v>
      </c>
    </row>
    <row r="39" spans="2:11" x14ac:dyDescent="0.25">
      <c r="B39" s="991"/>
      <c r="C39" s="994"/>
      <c r="D39" s="993"/>
      <c r="E39" s="993"/>
      <c r="F39" s="993"/>
      <c r="G39" s="993"/>
      <c r="H39" s="993"/>
      <c r="I39" s="993"/>
      <c r="J39" s="993"/>
      <c r="K39" s="993"/>
    </row>
    <row r="40" spans="2:11" x14ac:dyDescent="0.25">
      <c r="B40" s="991" t="s">
        <v>234</v>
      </c>
      <c r="C40" s="994" t="s">
        <v>528</v>
      </c>
      <c r="D40" s="993">
        <f>+D35</f>
        <v>644851.87100000004</v>
      </c>
      <c r="E40" s="993">
        <f>+E35</f>
        <v>519263.02299999999</v>
      </c>
      <c r="F40" s="993">
        <f>+F35</f>
        <v>472206.478</v>
      </c>
      <c r="G40" s="993">
        <f t="shared" ref="G40:K40" si="1">+G35</f>
        <v>482800.02300000004</v>
      </c>
      <c r="H40" s="993">
        <f t="shared" si="1"/>
        <v>203087.81900000002</v>
      </c>
      <c r="I40" s="993">
        <f t="shared" si="1"/>
        <v>188954.59100000001</v>
      </c>
      <c r="J40" s="993">
        <f t="shared" si="1"/>
        <v>173068.625</v>
      </c>
      <c r="K40" s="993">
        <f t="shared" si="1"/>
        <v>187937.633</v>
      </c>
    </row>
    <row r="41" spans="2:11" x14ac:dyDescent="0.25">
      <c r="B41" s="991"/>
      <c r="C41" s="994"/>
      <c r="D41" s="993"/>
      <c r="E41" s="993"/>
      <c r="F41" s="993"/>
      <c r="G41" s="993"/>
      <c r="H41" s="993"/>
      <c r="I41" s="993"/>
      <c r="J41" s="993"/>
      <c r="K41" s="993"/>
    </row>
    <row r="42" spans="2:11" x14ac:dyDescent="0.25">
      <c r="B42" s="995" t="s">
        <v>529</v>
      </c>
      <c r="C42" s="996"/>
      <c r="D42" s="996"/>
      <c r="E42" s="996"/>
      <c r="F42" s="996"/>
      <c r="G42" s="996"/>
      <c r="H42" s="996"/>
      <c r="I42" s="996"/>
      <c r="J42" s="996"/>
      <c r="K42" s="997"/>
    </row>
    <row r="43" spans="2:11" x14ac:dyDescent="0.25">
      <c r="B43" s="166" t="s">
        <v>530</v>
      </c>
      <c r="C43" s="167" t="s">
        <v>531</v>
      </c>
      <c r="D43" s="998"/>
      <c r="E43" s="998"/>
      <c r="F43" s="998"/>
      <c r="G43" s="998"/>
      <c r="H43" s="168">
        <f>3357421500/1000</f>
        <v>3357421.5</v>
      </c>
      <c r="I43" s="168">
        <f>3260976265/1000</f>
        <v>3260976.2650000001</v>
      </c>
      <c r="J43" s="168">
        <f>3421527256/1000</f>
        <v>3421527.2560000001</v>
      </c>
      <c r="K43" s="168">
        <f>3608303204/1000</f>
        <v>3608303.2039999999</v>
      </c>
    </row>
    <row r="44" spans="2:11" x14ac:dyDescent="0.25">
      <c r="B44" s="166">
        <v>22</v>
      </c>
      <c r="C44" s="167" t="s">
        <v>532</v>
      </c>
      <c r="D44" s="998"/>
      <c r="E44" s="998"/>
      <c r="F44" s="998"/>
      <c r="G44" s="998"/>
      <c r="H44" s="168">
        <f>998893607/1000</f>
        <v>998893.60699999996</v>
      </c>
      <c r="I44" s="168">
        <f>1001149358/1000</f>
        <v>1001149.358</v>
      </c>
      <c r="J44" s="168">
        <f>1063202298/1000</f>
        <v>1063202.298</v>
      </c>
      <c r="K44" s="168">
        <f>1098163600/1000</f>
        <v>1098163.6000000001</v>
      </c>
    </row>
    <row r="45" spans="2:11" x14ac:dyDescent="0.25">
      <c r="B45" s="166">
        <v>23</v>
      </c>
      <c r="C45" s="167" t="s">
        <v>533</v>
      </c>
      <c r="D45" s="998"/>
      <c r="E45" s="998"/>
      <c r="F45" s="998"/>
      <c r="G45" s="998"/>
      <c r="H45" s="169">
        <f>+H43/H44*100</f>
        <v>336.1140242035807</v>
      </c>
      <c r="I45" s="169">
        <f t="shared" ref="I45:K45" si="2">+I43/I44*100</f>
        <v>325.72325387237578</v>
      </c>
      <c r="J45" s="169">
        <f t="shared" si="2"/>
        <v>321.81338042969509</v>
      </c>
      <c r="K45" s="169">
        <f t="shared" si="2"/>
        <v>328.57610687515046</v>
      </c>
    </row>
    <row r="47" spans="2:11" x14ac:dyDescent="0.25">
      <c r="B47" s="96"/>
    </row>
  </sheetData>
  <mergeCells count="57">
    <mergeCell ref="B42:K42"/>
    <mergeCell ref="D43:G43"/>
    <mergeCell ref="D44:G44"/>
    <mergeCell ref="D45:G45"/>
    <mergeCell ref="G40:G41"/>
    <mergeCell ref="H40:H41"/>
    <mergeCell ref="I40:I41"/>
    <mergeCell ref="J40:J41"/>
    <mergeCell ref="K40:K41"/>
    <mergeCell ref="B40:B41"/>
    <mergeCell ref="C40:C41"/>
    <mergeCell ref="D40:D41"/>
    <mergeCell ref="E40:E41"/>
    <mergeCell ref="F40:F41"/>
    <mergeCell ref="K36:K37"/>
    <mergeCell ref="B38:B39"/>
    <mergeCell ref="C38:C39"/>
    <mergeCell ref="D38:D39"/>
    <mergeCell ref="E38:E39"/>
    <mergeCell ref="F38:F39"/>
    <mergeCell ref="G38:G39"/>
    <mergeCell ref="H38:H39"/>
    <mergeCell ref="I38:I39"/>
    <mergeCell ref="J38:J39"/>
    <mergeCell ref="K38:K39"/>
    <mergeCell ref="K33:K34"/>
    <mergeCell ref="B36:B37"/>
    <mergeCell ref="C36:C37"/>
    <mergeCell ref="D36:D37"/>
    <mergeCell ref="E36:E37"/>
    <mergeCell ref="F36:F37"/>
    <mergeCell ref="G36:G37"/>
    <mergeCell ref="H36:H37"/>
    <mergeCell ref="I36:I37"/>
    <mergeCell ref="J36:J37"/>
    <mergeCell ref="B33:B34"/>
    <mergeCell ref="C33:C34"/>
    <mergeCell ref="D33:G34"/>
    <mergeCell ref="H33:H34"/>
    <mergeCell ref="I33:I34"/>
    <mergeCell ref="J33:J34"/>
    <mergeCell ref="D26:G26"/>
    <mergeCell ref="B27:K27"/>
    <mergeCell ref="B31:B32"/>
    <mergeCell ref="C31:C32"/>
    <mergeCell ref="D31:G32"/>
    <mergeCell ref="H31:H32"/>
    <mergeCell ref="I31:I32"/>
    <mergeCell ref="J31:J32"/>
    <mergeCell ref="K31:K32"/>
    <mergeCell ref="D19:G19"/>
    <mergeCell ref="D6:G6"/>
    <mergeCell ref="H6:K6"/>
    <mergeCell ref="B9:K9"/>
    <mergeCell ref="D10:G10"/>
    <mergeCell ref="B11:K11"/>
    <mergeCell ref="B5:C6"/>
  </mergeCells>
  <hyperlinks>
    <hyperlink ref="B2" location="Indhold!B18" display="Skema EU LIQ1 - Kvantitative oplysninger om likviditetsdækningsgrad" xr:uid="{396FC578-8262-4E20-8D5D-FE3E6BC07548}"/>
  </hyperlink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EDD5-7DCE-48F8-BFAD-BC1D75A9DA69}">
  <dimension ref="B2:H44"/>
  <sheetViews>
    <sheetView showGridLines="0" zoomScaleNormal="100" workbookViewId="0">
      <selection activeCell="B2" sqref="B2"/>
    </sheetView>
  </sheetViews>
  <sheetFormatPr defaultColWidth="9.140625" defaultRowHeight="15" x14ac:dyDescent="0.25"/>
  <cols>
    <col min="1" max="1" width="3.7109375" customWidth="1"/>
    <col min="3" max="3" width="39.28515625" customWidth="1"/>
    <col min="4" max="4" width="13.85546875" customWidth="1"/>
    <col min="5" max="5" width="16" customWidth="1"/>
    <col min="6" max="6" width="18.28515625" customWidth="1"/>
    <col min="7" max="7" width="12.5703125" customWidth="1"/>
    <col min="8" max="8" width="17.85546875" customWidth="1"/>
    <col min="9" max="9" width="16.85546875" customWidth="1"/>
    <col min="10" max="10" width="18.5703125" customWidth="1"/>
  </cols>
  <sheetData>
    <row r="2" spans="2:8" x14ac:dyDescent="0.25">
      <c r="B2" s="878" t="s">
        <v>534</v>
      </c>
    </row>
    <row r="3" spans="2:8" ht="15.75" x14ac:dyDescent="0.25">
      <c r="B3" s="170" t="s">
        <v>535</v>
      </c>
    </row>
    <row r="4" spans="2:8" s="94" customFormat="1" x14ac:dyDescent="0.25"/>
    <row r="5" spans="2:8" x14ac:dyDescent="0.25">
      <c r="B5" s="1008"/>
      <c r="C5" s="1009"/>
      <c r="D5" s="471" t="s">
        <v>105</v>
      </c>
      <c r="E5" s="471" t="s">
        <v>104</v>
      </c>
      <c r="F5" s="471" t="s">
        <v>99</v>
      </c>
      <c r="G5" s="471" t="s">
        <v>98</v>
      </c>
      <c r="H5" s="471" t="s">
        <v>97</v>
      </c>
    </row>
    <row r="6" spans="2:8" ht="15.75" customHeight="1" x14ac:dyDescent="0.25">
      <c r="B6" s="1010" t="s">
        <v>1431</v>
      </c>
      <c r="C6" s="1011"/>
      <c r="D6" s="1014" t="s">
        <v>536</v>
      </c>
      <c r="E6" s="1015"/>
      <c r="F6" s="1015"/>
      <c r="G6" s="1016"/>
      <c r="H6" s="1017" t="s">
        <v>537</v>
      </c>
    </row>
    <row r="7" spans="2:8" ht="15" customHeight="1" x14ac:dyDescent="0.25">
      <c r="B7" s="1012"/>
      <c r="C7" s="1013"/>
      <c r="D7" s="471" t="s">
        <v>538</v>
      </c>
      <c r="E7" s="471" t="s">
        <v>539</v>
      </c>
      <c r="F7" s="471" t="s">
        <v>540</v>
      </c>
      <c r="G7" s="471" t="s">
        <v>541</v>
      </c>
      <c r="H7" s="1018"/>
    </row>
    <row r="8" spans="2:8" x14ac:dyDescent="0.25">
      <c r="B8" s="517" t="s">
        <v>542</v>
      </c>
      <c r="C8" s="518"/>
      <c r="D8" s="518"/>
      <c r="E8" s="519"/>
      <c r="F8" s="518"/>
      <c r="G8" s="518"/>
      <c r="H8" s="520"/>
    </row>
    <row r="9" spans="2:8" x14ac:dyDescent="0.25">
      <c r="B9" s="521">
        <v>1</v>
      </c>
      <c r="C9" s="523" t="s">
        <v>543</v>
      </c>
      <c r="D9" s="524">
        <v>1057109</v>
      </c>
      <c r="E9" s="525">
        <v>0</v>
      </c>
      <c r="F9" s="525">
        <v>0</v>
      </c>
      <c r="G9" s="526">
        <v>0</v>
      </c>
      <c r="H9" s="526">
        <f>SUM(D9:G9)</f>
        <v>1057109</v>
      </c>
    </row>
    <row r="10" spans="2:8" x14ac:dyDescent="0.25">
      <c r="B10" s="457">
        <v>2</v>
      </c>
      <c r="C10" s="527" t="s">
        <v>544</v>
      </c>
      <c r="D10" s="498">
        <f>+D9</f>
        <v>1057109</v>
      </c>
      <c r="E10" s="498">
        <v>0</v>
      </c>
      <c r="F10" s="498">
        <v>0</v>
      </c>
      <c r="G10" s="62">
        <v>0</v>
      </c>
      <c r="H10" s="526">
        <f t="shared" ref="H10:H11" si="0">SUM(D10:G10)</f>
        <v>1057109</v>
      </c>
    </row>
    <row r="11" spans="2:8" x14ac:dyDescent="0.25">
      <c r="B11" s="457">
        <v>3</v>
      </c>
      <c r="C11" s="527" t="s">
        <v>545</v>
      </c>
      <c r="D11" s="528"/>
      <c r="E11" s="498">
        <v>0</v>
      </c>
      <c r="F11" s="498">
        <v>0</v>
      </c>
      <c r="G11" s="62">
        <v>0</v>
      </c>
      <c r="H11" s="526">
        <f t="shared" si="0"/>
        <v>0</v>
      </c>
    </row>
    <row r="12" spans="2:8" x14ac:dyDescent="0.25">
      <c r="B12" s="522">
        <v>4</v>
      </c>
      <c r="C12" s="523" t="s">
        <v>546</v>
      </c>
      <c r="D12" s="528"/>
      <c r="E12" s="525">
        <f>+E14+E13</f>
        <v>6325398</v>
      </c>
      <c r="F12" s="525">
        <v>0</v>
      </c>
      <c r="G12" s="529">
        <v>0</v>
      </c>
      <c r="H12" s="526">
        <f>5597130950/1000</f>
        <v>5597130.9500000002</v>
      </c>
    </row>
    <row r="13" spans="2:8" x14ac:dyDescent="0.25">
      <c r="B13" s="457">
        <v>5</v>
      </c>
      <c r="C13" s="527" t="s">
        <v>504</v>
      </c>
      <c r="D13" s="528"/>
      <c r="E13" s="61">
        <v>4790722</v>
      </c>
      <c r="F13" s="61">
        <v>0</v>
      </c>
      <c r="G13" s="62">
        <v>0</v>
      </c>
      <c r="H13" s="526">
        <f>4394467250/1000</f>
        <v>4394467.25</v>
      </c>
    </row>
    <row r="14" spans="2:8" x14ac:dyDescent="0.25">
      <c r="B14" s="457">
        <v>6</v>
      </c>
      <c r="C14" s="527" t="s">
        <v>505</v>
      </c>
      <c r="D14" s="528"/>
      <c r="E14" s="61">
        <v>1534676</v>
      </c>
      <c r="F14" s="61">
        <v>0</v>
      </c>
      <c r="G14" s="62">
        <v>0</v>
      </c>
      <c r="H14" s="526">
        <f>1202663700/1000</f>
        <v>1202663.7</v>
      </c>
    </row>
    <row r="15" spans="2:8" x14ac:dyDescent="0.25">
      <c r="B15" s="522">
        <v>7</v>
      </c>
      <c r="C15" s="523" t="s">
        <v>547</v>
      </c>
      <c r="D15" s="528"/>
      <c r="E15" s="525">
        <f>+E16+E17</f>
        <v>1170411</v>
      </c>
      <c r="F15" s="525">
        <v>0</v>
      </c>
      <c r="G15" s="529">
        <v>0</v>
      </c>
      <c r="H15" s="526">
        <f>246787500/1000</f>
        <v>246787.5</v>
      </c>
    </row>
    <row r="16" spans="2:8" x14ac:dyDescent="0.25">
      <c r="B16" s="457">
        <v>8</v>
      </c>
      <c r="C16" s="527" t="s">
        <v>548</v>
      </c>
      <c r="D16" s="528"/>
      <c r="E16" s="530">
        <v>0</v>
      </c>
      <c r="F16" s="61">
        <v>0</v>
      </c>
      <c r="G16" s="62">
        <v>0</v>
      </c>
      <c r="H16" s="526">
        <v>0</v>
      </c>
    </row>
    <row r="17" spans="2:8" x14ac:dyDescent="0.25">
      <c r="B17" s="457">
        <v>9</v>
      </c>
      <c r="C17" s="527" t="s">
        <v>549</v>
      </c>
      <c r="D17" s="528"/>
      <c r="E17" s="61">
        <f>816451+353960</f>
        <v>1170411</v>
      </c>
      <c r="F17" s="61">
        <v>0</v>
      </c>
      <c r="G17" s="62">
        <v>0</v>
      </c>
      <c r="H17" s="526">
        <f>246787500/1000</f>
        <v>246787.5</v>
      </c>
    </row>
    <row r="18" spans="2:8" x14ac:dyDescent="0.25">
      <c r="B18" s="522">
        <v>10</v>
      </c>
      <c r="C18" s="523" t="s">
        <v>550</v>
      </c>
      <c r="D18" s="528"/>
      <c r="E18" s="525">
        <v>97664</v>
      </c>
      <c r="F18" s="525">
        <v>0</v>
      </c>
      <c r="G18" s="529">
        <v>0</v>
      </c>
      <c r="H18" s="526">
        <v>0</v>
      </c>
    </row>
    <row r="19" spans="2:8" x14ac:dyDescent="0.25">
      <c r="B19" s="522">
        <v>11</v>
      </c>
      <c r="C19" s="523" t="s">
        <v>551</v>
      </c>
      <c r="D19" s="525">
        <v>0</v>
      </c>
      <c r="E19" s="525">
        <v>3</v>
      </c>
      <c r="F19" s="525">
        <v>0</v>
      </c>
      <c r="G19" s="529">
        <v>0</v>
      </c>
      <c r="H19" s="526">
        <v>0</v>
      </c>
    </row>
    <row r="20" spans="2:8" x14ac:dyDescent="0.25">
      <c r="B20" s="457">
        <v>12</v>
      </c>
      <c r="C20" s="527" t="s">
        <v>552</v>
      </c>
      <c r="D20" s="61">
        <v>0</v>
      </c>
      <c r="E20" s="528"/>
      <c r="F20" s="528"/>
      <c r="G20" s="528"/>
      <c r="H20" s="526">
        <v>0</v>
      </c>
    </row>
    <row r="21" spans="2:8" ht="45" x14ac:dyDescent="0.25">
      <c r="B21" s="457">
        <v>13</v>
      </c>
      <c r="C21" s="527" t="s">
        <v>553</v>
      </c>
      <c r="D21" s="528"/>
      <c r="E21" s="61">
        <v>3</v>
      </c>
      <c r="F21" s="61">
        <v>0</v>
      </c>
      <c r="G21" s="62">
        <v>0</v>
      </c>
      <c r="H21" s="526">
        <v>0</v>
      </c>
    </row>
    <row r="22" spans="2:8" x14ac:dyDescent="0.25">
      <c r="B22" s="56">
        <v>14</v>
      </c>
      <c r="C22" s="60" t="s">
        <v>554</v>
      </c>
      <c r="D22" s="531"/>
      <c r="E22" s="531"/>
      <c r="F22" s="531"/>
      <c r="G22" s="531"/>
      <c r="H22" s="526">
        <v>7397729</v>
      </c>
    </row>
    <row r="23" spans="2:8" ht="23.25" customHeight="1" x14ac:dyDescent="0.25">
      <c r="B23" s="1019" t="s">
        <v>555</v>
      </c>
      <c r="C23" s="1020"/>
      <c r="D23" s="1020"/>
      <c r="E23" s="1020"/>
      <c r="F23" s="1020"/>
      <c r="G23" s="1020"/>
      <c r="H23" s="1021"/>
    </row>
    <row r="24" spans="2:8" x14ac:dyDescent="0.25">
      <c r="B24" s="522">
        <v>15</v>
      </c>
      <c r="C24" s="523" t="s">
        <v>501</v>
      </c>
      <c r="D24" s="532"/>
      <c r="E24" s="533"/>
      <c r="F24" s="533"/>
      <c r="G24" s="534"/>
      <c r="H24" s="529">
        <v>3836092</v>
      </c>
    </row>
    <row r="25" spans="2:8" ht="45" x14ac:dyDescent="0.25">
      <c r="B25" s="522" t="s">
        <v>556</v>
      </c>
      <c r="C25" s="523" t="s">
        <v>557</v>
      </c>
      <c r="D25" s="535"/>
      <c r="E25" s="525">
        <v>0</v>
      </c>
      <c r="F25" s="525">
        <v>0</v>
      </c>
      <c r="G25" s="529">
        <v>0</v>
      </c>
      <c r="H25" s="529">
        <v>0</v>
      </c>
    </row>
    <row r="26" spans="2:8" ht="30" x14ac:dyDescent="0.25">
      <c r="B26" s="522">
        <v>16</v>
      </c>
      <c r="C26" s="523" t="s">
        <v>558</v>
      </c>
      <c r="D26" s="532"/>
      <c r="E26" s="525">
        <v>0</v>
      </c>
      <c r="F26" s="525">
        <v>0</v>
      </c>
      <c r="G26" s="529">
        <v>0</v>
      </c>
      <c r="H26" s="529">
        <v>0</v>
      </c>
    </row>
    <row r="27" spans="2:8" x14ac:dyDescent="0.25">
      <c r="B27" s="522">
        <v>17</v>
      </c>
      <c r="C27" s="523" t="s">
        <v>559</v>
      </c>
      <c r="D27" s="532"/>
      <c r="E27" s="525">
        <f>19108+187779</f>
        <v>206887</v>
      </c>
      <c r="F27" s="525">
        <f>59315+75155</f>
        <v>134470</v>
      </c>
      <c r="G27" s="529">
        <f>489798+3072778</f>
        <v>3562576</v>
      </c>
      <c r="H27" s="529">
        <f>505318+2680469</f>
        <v>3185787</v>
      </c>
    </row>
    <row r="28" spans="2:8" ht="75" x14ac:dyDescent="0.25">
      <c r="B28" s="457">
        <v>18</v>
      </c>
      <c r="C28" s="536" t="s">
        <v>560</v>
      </c>
      <c r="D28" s="532"/>
      <c r="E28" s="61">
        <v>0</v>
      </c>
      <c r="F28" s="61">
        <v>0</v>
      </c>
      <c r="G28" s="62">
        <v>0</v>
      </c>
      <c r="H28" s="62">
        <v>0</v>
      </c>
    </row>
    <row r="29" spans="2:8" ht="75" x14ac:dyDescent="0.25">
      <c r="B29" s="457">
        <v>19</v>
      </c>
      <c r="C29" s="527" t="s">
        <v>561</v>
      </c>
      <c r="D29" s="532"/>
      <c r="E29" s="61">
        <v>120424</v>
      </c>
      <c r="F29" s="61">
        <v>394</v>
      </c>
      <c r="G29" s="62">
        <v>571830</v>
      </c>
      <c r="H29" s="62">
        <v>584069</v>
      </c>
    </row>
    <row r="30" spans="2:8" ht="60" x14ac:dyDescent="0.25">
      <c r="B30" s="457">
        <v>20</v>
      </c>
      <c r="C30" s="527" t="s">
        <v>562</v>
      </c>
      <c r="D30" s="532"/>
      <c r="E30" s="61">
        <f>56127-5+11228-10673</f>
        <v>56677</v>
      </c>
      <c r="F30" s="61">
        <f>61460-5+13301-12656</f>
        <v>62100</v>
      </c>
      <c r="G30" s="62">
        <f>1998629-145+502319-475852</f>
        <v>2024951</v>
      </c>
      <c r="H30" s="62">
        <f>1757628+338772</f>
        <v>2096400</v>
      </c>
    </row>
    <row r="31" spans="2:8" ht="45" x14ac:dyDescent="0.25">
      <c r="B31" s="457">
        <v>21</v>
      </c>
      <c r="C31" s="537" t="s">
        <v>563</v>
      </c>
      <c r="D31" s="532"/>
      <c r="E31" s="61">
        <f>11228-10673</f>
        <v>555</v>
      </c>
      <c r="F31" s="61">
        <f>13301-12656</f>
        <v>645</v>
      </c>
      <c r="G31" s="62">
        <f>502319-475852</f>
        <v>26467</v>
      </c>
      <c r="H31" s="62">
        <v>338772</v>
      </c>
    </row>
    <row r="32" spans="2:8" ht="30" x14ac:dyDescent="0.25">
      <c r="B32" s="457">
        <v>22</v>
      </c>
      <c r="C32" s="527" t="s">
        <v>564</v>
      </c>
      <c r="D32" s="532"/>
      <c r="E32" s="61">
        <f>10673+5</f>
        <v>10678</v>
      </c>
      <c r="F32" s="61">
        <f>12656+5</f>
        <v>12661</v>
      </c>
      <c r="G32" s="62">
        <f>475852+145</f>
        <v>475997</v>
      </c>
      <c r="H32" s="62">
        <v>0</v>
      </c>
    </row>
    <row r="33" spans="2:8" ht="45" x14ac:dyDescent="0.25">
      <c r="B33" s="457">
        <v>23</v>
      </c>
      <c r="C33" s="537" t="s">
        <v>563</v>
      </c>
      <c r="D33" s="532"/>
      <c r="E33" s="61">
        <v>10673</v>
      </c>
      <c r="F33" s="61">
        <v>12656</v>
      </c>
      <c r="G33" s="62">
        <v>475852</v>
      </c>
      <c r="H33" s="62">
        <v>0</v>
      </c>
    </row>
    <row r="34" spans="2:8" ht="90" x14ac:dyDescent="0.25">
      <c r="B34" s="457">
        <v>24</v>
      </c>
      <c r="C34" s="527" t="s">
        <v>565</v>
      </c>
      <c r="D34" s="532"/>
      <c r="E34" s="61">
        <v>19108</v>
      </c>
      <c r="F34" s="61">
        <v>59315</v>
      </c>
      <c r="G34" s="62">
        <v>489798</v>
      </c>
      <c r="H34" s="62">
        <v>505318</v>
      </c>
    </row>
    <row r="35" spans="2:8" x14ac:dyDescent="0.25">
      <c r="B35" s="522">
        <v>25</v>
      </c>
      <c r="C35" s="523" t="s">
        <v>566</v>
      </c>
      <c r="D35" s="532"/>
      <c r="E35" s="525">
        <v>0</v>
      </c>
      <c r="F35" s="525">
        <v>0</v>
      </c>
      <c r="G35" s="529">
        <v>0</v>
      </c>
      <c r="H35" s="529">
        <v>0</v>
      </c>
    </row>
    <row r="36" spans="2:8" x14ac:dyDescent="0.25">
      <c r="B36" s="522">
        <v>26</v>
      </c>
      <c r="C36" s="523" t="s">
        <v>567</v>
      </c>
      <c r="D36" s="525"/>
      <c r="E36" s="538">
        <f>+E37+E38+E39+E40+E41</f>
        <v>28876</v>
      </c>
      <c r="F36" s="538">
        <f>+F37+E38+E39+E40+F41</f>
        <v>4624</v>
      </c>
      <c r="G36" s="539">
        <f>+G37+E38+E39+E40+G41</f>
        <v>704221</v>
      </c>
      <c r="H36" s="539">
        <f>+H37+H38+H39+H40+H41</f>
        <v>714839</v>
      </c>
    </row>
    <row r="37" spans="2:8" x14ac:dyDescent="0.25">
      <c r="B37" s="457">
        <v>27</v>
      </c>
      <c r="C37" s="527" t="s">
        <v>568</v>
      </c>
      <c r="D37" s="532"/>
      <c r="E37" s="532"/>
      <c r="F37" s="532"/>
      <c r="G37" s="62">
        <v>0</v>
      </c>
      <c r="H37" s="548">
        <v>0</v>
      </c>
    </row>
    <row r="38" spans="2:8" ht="45" x14ac:dyDescent="0.25">
      <c r="B38" s="457">
        <v>28</v>
      </c>
      <c r="C38" s="527" t="s">
        <v>569</v>
      </c>
      <c r="D38" s="532"/>
      <c r="E38" s="999">
        <v>0</v>
      </c>
      <c r="F38" s="1000"/>
      <c r="G38" s="1001"/>
      <c r="H38" s="62">
        <v>0</v>
      </c>
    </row>
    <row r="39" spans="2:8" x14ac:dyDescent="0.25">
      <c r="B39" s="457">
        <v>29</v>
      </c>
      <c r="C39" s="527" t="s">
        <v>570</v>
      </c>
      <c r="D39" s="540"/>
      <c r="E39" s="1002">
        <v>0</v>
      </c>
      <c r="F39" s="1003"/>
      <c r="G39" s="1004"/>
      <c r="H39" s="62">
        <v>0</v>
      </c>
    </row>
    <row r="40" spans="2:8" ht="30" x14ac:dyDescent="0.25">
      <c r="B40" s="457">
        <v>30</v>
      </c>
      <c r="C40" s="527" t="s">
        <v>571</v>
      </c>
      <c r="D40" s="532"/>
      <c r="E40" s="1005">
        <v>0</v>
      </c>
      <c r="F40" s="1006"/>
      <c r="G40" s="1007"/>
      <c r="H40" s="62">
        <v>0</v>
      </c>
    </row>
    <row r="41" spans="2:8" ht="30" x14ac:dyDescent="0.25">
      <c r="B41" s="457">
        <v>31</v>
      </c>
      <c r="C41" s="527" t="s">
        <v>572</v>
      </c>
      <c r="D41" s="532"/>
      <c r="E41" s="541">
        <v>28876</v>
      </c>
      <c r="F41" s="541">
        <v>4624</v>
      </c>
      <c r="G41" s="62">
        <v>704221</v>
      </c>
      <c r="H41" s="62">
        <v>714839</v>
      </c>
    </row>
    <row r="42" spans="2:8" x14ac:dyDescent="0.25">
      <c r="B42" s="522">
        <v>32</v>
      </c>
      <c r="C42" s="523" t="s">
        <v>573</v>
      </c>
      <c r="D42" s="532"/>
      <c r="E42" s="542">
        <v>2499426</v>
      </c>
      <c r="F42" s="542">
        <v>0</v>
      </c>
      <c r="G42" s="543">
        <v>0</v>
      </c>
      <c r="H42" s="544">
        <v>124971</v>
      </c>
    </row>
    <row r="43" spans="2:8" x14ac:dyDescent="0.25">
      <c r="B43" s="56">
        <v>33</v>
      </c>
      <c r="C43" s="60" t="s">
        <v>38</v>
      </c>
      <c r="D43" s="531"/>
      <c r="E43" s="531"/>
      <c r="F43" s="531"/>
      <c r="G43" s="545"/>
      <c r="H43" s="546">
        <v>4211634</v>
      </c>
    </row>
    <row r="44" spans="2:8" x14ac:dyDescent="0.25">
      <c r="B44" s="56">
        <v>34</v>
      </c>
      <c r="C44" s="60" t="s">
        <v>574</v>
      </c>
      <c r="D44" s="531"/>
      <c r="E44" s="531"/>
      <c r="F44" s="531"/>
      <c r="G44" s="531"/>
      <c r="H44" s="547">
        <f>+H22/H43*100</f>
        <v>175.64985466448414</v>
      </c>
    </row>
  </sheetData>
  <mergeCells count="8">
    <mergeCell ref="H6:H7"/>
    <mergeCell ref="B23:H23"/>
    <mergeCell ref="E38:G38"/>
    <mergeCell ref="E39:G39"/>
    <mergeCell ref="E40:G40"/>
    <mergeCell ref="B5:C5"/>
    <mergeCell ref="B6:C7"/>
    <mergeCell ref="D6:G6"/>
  </mergeCells>
  <hyperlinks>
    <hyperlink ref="B2" location="Indhold!B23" display="Skema EU LIQ2: Net stable funding ratio " xr:uid="{C0D8CD69-8623-4A54-9A7A-6ABC7115D414}"/>
  </hyperlink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A8CC-59F3-4DDB-BD4B-089A39F4FAFA}">
  <dimension ref="B1:D9"/>
  <sheetViews>
    <sheetView showGridLines="0" zoomScaleNormal="100" workbookViewId="0">
      <selection activeCell="B3" sqref="B3"/>
    </sheetView>
  </sheetViews>
  <sheetFormatPr defaultColWidth="9.140625" defaultRowHeight="15" x14ac:dyDescent="0.25"/>
  <cols>
    <col min="3" max="3" width="55.285156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92"/>
    </row>
    <row r="3" spans="2:4" x14ac:dyDescent="0.25">
      <c r="B3" s="878" t="s">
        <v>356</v>
      </c>
    </row>
    <row r="6" spans="2:4" x14ac:dyDescent="0.25">
      <c r="D6" s="43" t="s">
        <v>105</v>
      </c>
    </row>
    <row r="7" spans="2:4" x14ac:dyDescent="0.25">
      <c r="B7" s="124">
        <v>1</v>
      </c>
      <c r="C7" s="125" t="s">
        <v>89</v>
      </c>
      <c r="D7" s="126">
        <f>4101602602/1000</f>
        <v>4101602.602</v>
      </c>
    </row>
    <row r="8" spans="2:4" x14ac:dyDescent="0.25">
      <c r="B8" s="124">
        <v>2</v>
      </c>
      <c r="C8" s="125" t="s">
        <v>357</v>
      </c>
      <c r="D8" s="877">
        <f>+D9/D7*100</f>
        <v>1.9999999746440578</v>
      </c>
    </row>
    <row r="9" spans="2:4" x14ac:dyDescent="0.25">
      <c r="B9" s="124">
        <v>3</v>
      </c>
      <c r="C9" s="125" t="s">
        <v>358</v>
      </c>
      <c r="D9" s="126">
        <f>82032051/1000</f>
        <v>82032.051000000007</v>
      </c>
    </row>
  </sheetData>
  <conditionalFormatting sqref="D7:D9">
    <cfRule type="cellIs" dxfId="9" priority="1" stopIfTrue="1" operator="lessThan">
      <formula>0</formula>
    </cfRule>
  </conditionalFormatting>
  <hyperlinks>
    <hyperlink ref="B3" location="Indhold!B21" display="Skema EU-CCyB2 — Størrelsen af den institutspecifikke kontracykliske kapitalbuffer" xr:uid="{FE9B4854-993B-4A91-9904-988AD3D1F685}"/>
  </hyperlinks>
  <pageMargins left="0.70866141732283472" right="0.70866141732283472" top="0.74803149606299213" bottom="0.74803149606299213" header="0.31496062992125984" footer="0.31496062992125984"/>
  <pageSetup paperSize="9" orientation="landscape" verticalDpi="1200" r:id="rId1"/>
  <headerFooter>
    <oddHeader>&amp;CDA
Bilag IX</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F69ED-A5C9-4045-AECE-427D89C669AB}">
  <sheetPr>
    <pageSetUpPr fitToPage="1"/>
  </sheetPr>
  <dimension ref="B2:R31"/>
  <sheetViews>
    <sheetView showGridLines="0" zoomScaleNormal="100" workbookViewId="0">
      <selection activeCell="B2" sqref="B2"/>
    </sheetView>
  </sheetViews>
  <sheetFormatPr defaultRowHeight="15" x14ac:dyDescent="0.25"/>
  <cols>
    <col min="2" max="2" width="5.85546875" customWidth="1"/>
    <col min="3" max="3" width="24" bestFit="1" customWidth="1"/>
    <col min="4" max="5" width="11.85546875" bestFit="1" customWidth="1"/>
    <col min="6" max="7" width="10.28515625" bestFit="1" customWidth="1"/>
    <col min="8" max="8" width="9.28515625" bestFit="1" customWidth="1"/>
    <col min="9" max="9" width="10.28515625" bestFit="1" customWidth="1"/>
    <col min="10" max="15" width="9.28515625" bestFit="1" customWidth="1"/>
    <col min="16" max="16" width="10.5703125" customWidth="1"/>
    <col min="17" max="18" width="9.28515625" bestFit="1" customWidth="1"/>
  </cols>
  <sheetData>
    <row r="2" spans="2:18" ht="18.75" x14ac:dyDescent="0.3">
      <c r="B2" s="422" t="s">
        <v>575</v>
      </c>
    </row>
    <row r="3" spans="2:18" ht="15" customHeight="1" x14ac:dyDescent="0.25">
      <c r="B3" s="170"/>
      <c r="C3" s="171"/>
      <c r="D3" s="171"/>
      <c r="E3" s="171"/>
      <c r="F3" s="171"/>
      <c r="G3" s="171"/>
      <c r="H3" s="171"/>
      <c r="I3" s="171"/>
      <c r="J3" s="171"/>
      <c r="K3" s="171"/>
      <c r="L3" s="171"/>
      <c r="M3" s="879"/>
      <c r="N3" s="171"/>
      <c r="O3" s="171"/>
      <c r="P3" s="171"/>
      <c r="Q3" s="171"/>
      <c r="R3" s="171"/>
    </row>
    <row r="4" spans="2:18" ht="15" customHeight="1" thickBot="1" x14ac:dyDescent="0.3">
      <c r="B4" s="170"/>
      <c r="C4" s="171"/>
      <c r="D4" s="171"/>
      <c r="E4" s="171"/>
      <c r="F4" s="171"/>
      <c r="G4" s="171"/>
      <c r="H4" s="171"/>
      <c r="I4" s="171"/>
      <c r="J4" s="171"/>
      <c r="K4" s="171"/>
      <c r="L4" s="171"/>
      <c r="M4" s="171"/>
      <c r="N4" s="171"/>
      <c r="O4" s="171"/>
      <c r="P4" s="171"/>
      <c r="Q4" s="171"/>
      <c r="R4" s="171"/>
    </row>
    <row r="5" spans="2:18" ht="16.5" thickBot="1" x14ac:dyDescent="0.3">
      <c r="B5" s="550"/>
      <c r="C5" s="551"/>
      <c r="D5" s="559" t="s">
        <v>105</v>
      </c>
      <c r="E5" s="559" t="s">
        <v>104</v>
      </c>
      <c r="F5" s="559" t="s">
        <v>99</v>
      </c>
      <c r="G5" s="559" t="s">
        <v>98</v>
      </c>
      <c r="H5" s="559" t="s">
        <v>97</v>
      </c>
      <c r="I5" s="559" t="s">
        <v>113</v>
      </c>
      <c r="J5" s="559" t="s">
        <v>114</v>
      </c>
      <c r="K5" s="559" t="s">
        <v>169</v>
      </c>
      <c r="L5" s="559" t="s">
        <v>328</v>
      </c>
      <c r="M5" s="559" t="s">
        <v>329</v>
      </c>
      <c r="N5" s="559" t="s">
        <v>330</v>
      </c>
      <c r="O5" s="559" t="s">
        <v>331</v>
      </c>
      <c r="P5" s="559" t="s">
        <v>332</v>
      </c>
      <c r="Q5" s="559" t="s">
        <v>359</v>
      </c>
      <c r="R5" s="559" t="s">
        <v>576</v>
      </c>
    </row>
    <row r="6" spans="2:18" ht="40.5" customHeight="1" thickBot="1" x14ac:dyDescent="0.3">
      <c r="B6" s="550"/>
      <c r="C6" s="551"/>
      <c r="D6" s="1024" t="s">
        <v>577</v>
      </c>
      <c r="E6" s="1024"/>
      <c r="F6" s="1024"/>
      <c r="G6" s="1024"/>
      <c r="H6" s="1024"/>
      <c r="I6" s="1024"/>
      <c r="J6" s="1024" t="s">
        <v>578</v>
      </c>
      <c r="K6" s="1024"/>
      <c r="L6" s="1024"/>
      <c r="M6" s="1024"/>
      <c r="N6" s="1024"/>
      <c r="O6" s="1024"/>
      <c r="P6" s="1024" t="s">
        <v>1259</v>
      </c>
      <c r="Q6" s="1024" t="s">
        <v>580</v>
      </c>
      <c r="R6" s="1024"/>
    </row>
    <row r="7" spans="2:18" ht="57.75" customHeight="1" thickBot="1" x14ac:dyDescent="0.3">
      <c r="B7" s="1022" t="s">
        <v>1431</v>
      </c>
      <c r="C7" s="1023"/>
      <c r="D7" s="1025" t="s">
        <v>581</v>
      </c>
      <c r="E7" s="1024"/>
      <c r="F7" s="1024"/>
      <c r="G7" s="1024" t="s">
        <v>489</v>
      </c>
      <c r="H7" s="1024"/>
      <c r="I7" s="1024"/>
      <c r="J7" s="1024" t="s">
        <v>582</v>
      </c>
      <c r="K7" s="1024"/>
      <c r="L7" s="1024"/>
      <c r="M7" s="1024" t="s">
        <v>583</v>
      </c>
      <c r="N7" s="1024"/>
      <c r="O7" s="1024"/>
      <c r="P7" s="1024"/>
      <c r="Q7" s="1024" t="s">
        <v>1260</v>
      </c>
      <c r="R7" s="1024" t="s">
        <v>1261</v>
      </c>
    </row>
    <row r="8" spans="2:18" ht="15.75" x14ac:dyDescent="0.25">
      <c r="B8" s="550"/>
      <c r="C8" s="560"/>
      <c r="D8" s="561"/>
      <c r="E8" s="562" t="s">
        <v>584</v>
      </c>
      <c r="F8" s="562" t="s">
        <v>585</v>
      </c>
      <c r="G8" s="561"/>
      <c r="H8" s="562" t="s">
        <v>585</v>
      </c>
      <c r="I8" s="562" t="s">
        <v>586</v>
      </c>
      <c r="J8" s="561"/>
      <c r="K8" s="562" t="s">
        <v>584</v>
      </c>
      <c r="L8" s="562" t="s">
        <v>585</v>
      </c>
      <c r="M8" s="561"/>
      <c r="N8" s="562" t="s">
        <v>585</v>
      </c>
      <c r="O8" s="562" t="s">
        <v>586</v>
      </c>
      <c r="P8" s="561"/>
      <c r="Q8" s="1025"/>
      <c r="R8" s="1025"/>
    </row>
    <row r="9" spans="2:18" ht="45" x14ac:dyDescent="0.25">
      <c r="B9" s="553" t="s">
        <v>587</v>
      </c>
      <c r="C9" s="554" t="s">
        <v>588</v>
      </c>
      <c r="D9" s="567">
        <f>1318626734/1000</f>
        <v>1318626.7339999999</v>
      </c>
      <c r="E9" s="567">
        <f>1318626734/1000</f>
        <v>1318626.7339999999</v>
      </c>
      <c r="F9" s="567">
        <v>0</v>
      </c>
      <c r="G9" s="567">
        <v>0</v>
      </c>
      <c r="H9" s="567">
        <v>0</v>
      </c>
      <c r="I9" s="567">
        <v>0</v>
      </c>
      <c r="J9" s="567">
        <v>0</v>
      </c>
      <c r="K9" s="567"/>
      <c r="L9" s="567"/>
      <c r="M9" s="567">
        <v>0</v>
      </c>
      <c r="N9" s="567">
        <v>0</v>
      </c>
      <c r="O9" s="567">
        <v>0</v>
      </c>
      <c r="P9" s="567">
        <v>0</v>
      </c>
      <c r="Q9" s="567">
        <v>0</v>
      </c>
      <c r="R9" s="567">
        <v>0</v>
      </c>
    </row>
    <row r="10" spans="2:18" x14ac:dyDescent="0.25">
      <c r="B10" s="553" t="s">
        <v>348</v>
      </c>
      <c r="C10" s="554" t="s">
        <v>589</v>
      </c>
      <c r="D10" s="567">
        <f>3297795811/1000</f>
        <v>3297795.8110000002</v>
      </c>
      <c r="E10" s="567">
        <f>2805392000/1000</f>
        <v>2805392</v>
      </c>
      <c r="F10" s="567">
        <f>492403811/1000</f>
        <v>492403.81099999999</v>
      </c>
      <c r="G10" s="567">
        <f>234293000/1000</f>
        <v>234293</v>
      </c>
      <c r="H10" s="567">
        <v>0</v>
      </c>
      <c r="I10" s="567">
        <f>234293000/1000</f>
        <v>234293</v>
      </c>
      <c r="J10" s="567">
        <f>-38929999/1000</f>
        <v>-38929.999000000003</v>
      </c>
      <c r="K10" s="567">
        <f>-20731000/1000</f>
        <v>-20731</v>
      </c>
      <c r="L10" s="567">
        <f>-18199000/1000</f>
        <v>-18199</v>
      </c>
      <c r="M10" s="567">
        <f>-143081470/1000</f>
        <v>-143081.47</v>
      </c>
      <c r="N10" s="567">
        <v>0</v>
      </c>
      <c r="O10" s="567">
        <f>-143809000/1000</f>
        <v>-143809</v>
      </c>
      <c r="P10" s="567">
        <v>0</v>
      </c>
      <c r="Q10" s="567">
        <v>0</v>
      </c>
      <c r="R10" s="567">
        <v>0</v>
      </c>
    </row>
    <row r="11" spans="2:18" x14ac:dyDescent="0.25">
      <c r="B11" s="555" t="s">
        <v>354</v>
      </c>
      <c r="C11" s="556" t="s">
        <v>590</v>
      </c>
      <c r="D11" s="568">
        <v>0</v>
      </c>
      <c r="E11" s="568">
        <v>0</v>
      </c>
      <c r="F11" s="568">
        <v>0</v>
      </c>
      <c r="G11" s="568">
        <v>0</v>
      </c>
      <c r="H11" s="567">
        <v>0</v>
      </c>
      <c r="I11" s="568">
        <v>0</v>
      </c>
      <c r="J11" s="567">
        <v>0</v>
      </c>
      <c r="K11" s="567">
        <v>0</v>
      </c>
      <c r="L11" s="567">
        <v>0</v>
      </c>
      <c r="M11" s="567">
        <v>0</v>
      </c>
      <c r="N11" s="567">
        <v>0</v>
      </c>
      <c r="O11" s="567">
        <v>0</v>
      </c>
      <c r="P11" s="567">
        <v>0</v>
      </c>
      <c r="Q11" s="567">
        <v>0</v>
      </c>
      <c r="R11" s="567">
        <v>0</v>
      </c>
    </row>
    <row r="12" spans="2:18" x14ac:dyDescent="0.25">
      <c r="B12" s="555" t="s">
        <v>591</v>
      </c>
      <c r="C12" s="556" t="s">
        <v>592</v>
      </c>
      <c r="D12" s="568">
        <v>0.79900000000000004</v>
      </c>
      <c r="E12" s="568">
        <v>0.79900000000000004</v>
      </c>
      <c r="F12" s="568">
        <v>0</v>
      </c>
      <c r="G12" s="568">
        <v>0</v>
      </c>
      <c r="H12" s="567">
        <v>0</v>
      </c>
      <c r="I12" s="568">
        <v>0</v>
      </c>
      <c r="J12" s="567">
        <v>0</v>
      </c>
      <c r="K12" s="567">
        <v>0</v>
      </c>
      <c r="L12" s="567">
        <v>0</v>
      </c>
      <c r="M12" s="567">
        <v>0</v>
      </c>
      <c r="N12" s="567">
        <v>0</v>
      </c>
      <c r="O12" s="567">
        <v>0</v>
      </c>
      <c r="P12" s="567">
        <v>0</v>
      </c>
      <c r="Q12" s="567">
        <v>0</v>
      </c>
      <c r="R12" s="567">
        <v>0</v>
      </c>
    </row>
    <row r="13" spans="2:18" x14ac:dyDescent="0.25">
      <c r="B13" s="555" t="s">
        <v>593</v>
      </c>
      <c r="C13" s="556" t="s">
        <v>594</v>
      </c>
      <c r="D13" s="568">
        <v>0</v>
      </c>
      <c r="E13" s="568">
        <v>0</v>
      </c>
      <c r="F13" s="568">
        <v>0</v>
      </c>
      <c r="G13" s="568">
        <v>0</v>
      </c>
      <c r="H13" s="567">
        <v>0</v>
      </c>
      <c r="I13" s="568">
        <v>0</v>
      </c>
      <c r="J13" s="567">
        <v>0</v>
      </c>
      <c r="K13" s="567">
        <v>0</v>
      </c>
      <c r="L13" s="567">
        <v>0</v>
      </c>
      <c r="M13" s="567">
        <v>0</v>
      </c>
      <c r="N13" s="567">
        <v>0</v>
      </c>
      <c r="O13" s="567">
        <v>0</v>
      </c>
      <c r="P13" s="567">
        <v>0</v>
      </c>
      <c r="Q13" s="567">
        <v>0</v>
      </c>
      <c r="R13" s="567">
        <v>0</v>
      </c>
    </row>
    <row r="14" spans="2:18" ht="30" x14ac:dyDescent="0.25">
      <c r="B14" s="555" t="s">
        <v>595</v>
      </c>
      <c r="C14" s="556" t="s">
        <v>596</v>
      </c>
      <c r="D14" s="568">
        <f>689467288/1000</f>
        <v>689467.28799999994</v>
      </c>
      <c r="E14" s="568">
        <f>665554020/1000</f>
        <v>665554.02</v>
      </c>
      <c r="F14" s="568">
        <f>23913268/1000</f>
        <v>23913.268</v>
      </c>
      <c r="G14" s="568">
        <f>19133381/1000</f>
        <v>19133.381000000001</v>
      </c>
      <c r="H14" s="567">
        <v>0</v>
      </c>
      <c r="I14" s="568">
        <f>19133381/1000</f>
        <v>19133.381000000001</v>
      </c>
      <c r="J14" s="567">
        <f>-3449993/1000</f>
        <v>-3449.9929999999999</v>
      </c>
      <c r="K14" s="567">
        <f>-743022/1000</f>
        <v>-743.02200000000005</v>
      </c>
      <c r="L14" s="567">
        <f>-2706971/1000</f>
        <v>-2706.971</v>
      </c>
      <c r="M14" s="567">
        <f>-19114146/1000</f>
        <v>-19114.146000000001</v>
      </c>
      <c r="N14" s="567">
        <v>0</v>
      </c>
      <c r="O14" s="567">
        <f>-19114146/1000</f>
        <v>-19114.146000000001</v>
      </c>
      <c r="P14" s="567">
        <v>0</v>
      </c>
      <c r="Q14" s="567">
        <v>0</v>
      </c>
      <c r="R14" s="567">
        <v>0</v>
      </c>
    </row>
    <row r="15" spans="2:18" x14ac:dyDescent="0.25">
      <c r="B15" s="555" t="s">
        <v>597</v>
      </c>
      <c r="C15" s="556" t="s">
        <v>598</v>
      </c>
      <c r="D15" s="568">
        <f>1226159412/1000</f>
        <v>1226159.412</v>
      </c>
      <c r="E15" s="568">
        <f>1046635923/1000</f>
        <v>1046635.923</v>
      </c>
      <c r="F15" s="568">
        <f>179523489/1000</f>
        <v>179523.489</v>
      </c>
      <c r="G15" s="568">
        <f>73989499/1000</f>
        <v>73989.498999999996</v>
      </c>
      <c r="H15" s="567">
        <v>0</v>
      </c>
      <c r="I15" s="568">
        <f>73989499/1000</f>
        <v>73989.498999999996</v>
      </c>
      <c r="J15" s="567">
        <f>-18758404/1000</f>
        <v>-18758.403999999999</v>
      </c>
      <c r="K15" s="567">
        <f>-10600272/1000</f>
        <v>-10600.272000000001</v>
      </c>
      <c r="L15" s="567">
        <f>-8158133/1000</f>
        <v>-8158.1329999999998</v>
      </c>
      <c r="M15" s="567">
        <f>-11649922/1000</f>
        <v>-11649.922</v>
      </c>
      <c r="N15" s="567">
        <v>0</v>
      </c>
      <c r="O15" s="567">
        <f>-11649922/1000</f>
        <v>-11649.922</v>
      </c>
      <c r="P15" s="567">
        <v>0</v>
      </c>
      <c r="Q15" s="567">
        <v>0</v>
      </c>
      <c r="R15" s="567">
        <v>0</v>
      </c>
    </row>
    <row r="16" spans="2:18" x14ac:dyDescent="0.25">
      <c r="B16" s="555" t="s">
        <v>599</v>
      </c>
      <c r="C16" s="63" t="s">
        <v>600</v>
      </c>
      <c r="D16" s="568">
        <f>1213101754/1000</f>
        <v>1213101.754</v>
      </c>
      <c r="E16" s="568">
        <f>1033578264/1000</f>
        <v>1033578.264</v>
      </c>
      <c r="F16" s="568">
        <f>179523489/1000</f>
        <v>179523.489</v>
      </c>
      <c r="G16" s="568">
        <f>73989499/1000</f>
        <v>73989.498999999996</v>
      </c>
      <c r="H16" s="567">
        <v>0</v>
      </c>
      <c r="I16" s="568">
        <f>73989499/1000</f>
        <v>73989.498999999996</v>
      </c>
      <c r="J16" s="567">
        <f>-18753299/1000</f>
        <v>-18753.298999999999</v>
      </c>
      <c r="K16" s="567">
        <f>-10595166/1000</f>
        <v>-10595.165999999999</v>
      </c>
      <c r="L16" s="567">
        <f>-8158133/1000</f>
        <v>-8158.1329999999998</v>
      </c>
      <c r="M16" s="567">
        <f>-11649922/1000</f>
        <v>-11649.922</v>
      </c>
      <c r="N16" s="567">
        <v>0</v>
      </c>
      <c r="O16" s="567">
        <f>-11649922/1000</f>
        <v>-11649.922</v>
      </c>
      <c r="P16" s="567">
        <v>0</v>
      </c>
      <c r="Q16" s="567">
        <v>0</v>
      </c>
      <c r="R16" s="567">
        <v>0</v>
      </c>
    </row>
    <row r="17" spans="2:18" x14ac:dyDescent="0.25">
      <c r="B17" s="555" t="s">
        <v>601</v>
      </c>
      <c r="C17" s="556" t="s">
        <v>602</v>
      </c>
      <c r="D17" s="568">
        <f>1382168312/1000</f>
        <v>1382168.3119999999</v>
      </c>
      <c r="E17" s="568">
        <f>1093201258/1000</f>
        <v>1093201.2579999999</v>
      </c>
      <c r="F17" s="568">
        <f>288967054/1000</f>
        <v>288967.054</v>
      </c>
      <c r="G17" s="568">
        <f>141170119/1000</f>
        <v>141170.11900000001</v>
      </c>
      <c r="H17" s="567">
        <v>0</v>
      </c>
      <c r="I17" s="568">
        <f>141170119/1000</f>
        <v>141170.11900000001</v>
      </c>
      <c r="J17" s="567">
        <f>-16721555/1000</f>
        <v>-16721.555</v>
      </c>
      <c r="K17" s="567">
        <f>-9387659/1000</f>
        <v>-9387.6589999999997</v>
      </c>
      <c r="L17" s="567">
        <f>-7333895/1000</f>
        <v>-7333.8950000000004</v>
      </c>
      <c r="M17" s="567">
        <f>-113044932/1000</f>
        <v>-113044.932</v>
      </c>
      <c r="N17" s="567">
        <v>0</v>
      </c>
      <c r="O17" s="567">
        <f>-134534138/1000</f>
        <v>-134534.13800000001</v>
      </c>
      <c r="P17" s="567">
        <v>0</v>
      </c>
      <c r="Q17" s="567">
        <v>0</v>
      </c>
      <c r="R17" s="567">
        <v>0</v>
      </c>
    </row>
    <row r="18" spans="2:18" x14ac:dyDescent="0.25">
      <c r="B18" s="553" t="s">
        <v>603</v>
      </c>
      <c r="C18" s="554" t="s">
        <v>604</v>
      </c>
      <c r="D18" s="567">
        <v>0</v>
      </c>
      <c r="E18" s="567">
        <v>0</v>
      </c>
      <c r="F18" s="567">
        <v>0</v>
      </c>
      <c r="G18" s="567">
        <v>0</v>
      </c>
      <c r="H18" s="567">
        <v>0</v>
      </c>
      <c r="I18" s="567">
        <v>0</v>
      </c>
      <c r="J18" s="567">
        <v>0</v>
      </c>
      <c r="K18" s="567">
        <v>0</v>
      </c>
      <c r="L18" s="567">
        <v>0</v>
      </c>
      <c r="M18" s="567">
        <v>0</v>
      </c>
      <c r="N18" s="567">
        <v>0</v>
      </c>
      <c r="O18" s="567">
        <v>0</v>
      </c>
      <c r="P18" s="567">
        <v>0</v>
      </c>
      <c r="Q18" s="567">
        <v>0</v>
      </c>
      <c r="R18" s="567">
        <v>0</v>
      </c>
    </row>
    <row r="19" spans="2:18" x14ac:dyDescent="0.25">
      <c r="B19" s="555" t="s">
        <v>605</v>
      </c>
      <c r="C19" s="556" t="s">
        <v>590</v>
      </c>
      <c r="D19" s="568">
        <v>0</v>
      </c>
      <c r="E19" s="568">
        <v>0</v>
      </c>
      <c r="F19" s="568">
        <v>0</v>
      </c>
      <c r="G19" s="568">
        <v>0</v>
      </c>
      <c r="H19" s="567">
        <v>0</v>
      </c>
      <c r="I19" s="568">
        <v>0</v>
      </c>
      <c r="J19" s="567">
        <v>0</v>
      </c>
      <c r="K19" s="567">
        <v>0</v>
      </c>
      <c r="L19" s="567">
        <v>0</v>
      </c>
      <c r="M19" s="567">
        <v>0</v>
      </c>
      <c r="N19" s="567">
        <v>0</v>
      </c>
      <c r="O19" s="567">
        <v>0</v>
      </c>
      <c r="P19" s="567">
        <v>0</v>
      </c>
      <c r="Q19" s="567">
        <v>0</v>
      </c>
      <c r="R19" s="567">
        <v>0</v>
      </c>
    </row>
    <row r="20" spans="2:18" x14ac:dyDescent="0.25">
      <c r="B20" s="555" t="s">
        <v>606</v>
      </c>
      <c r="C20" s="556" t="s">
        <v>592</v>
      </c>
      <c r="D20" s="568">
        <v>0</v>
      </c>
      <c r="E20" s="568">
        <v>0</v>
      </c>
      <c r="F20" s="568">
        <v>0</v>
      </c>
      <c r="G20" s="568">
        <v>0</v>
      </c>
      <c r="H20" s="567">
        <v>0</v>
      </c>
      <c r="I20" s="568">
        <v>0</v>
      </c>
      <c r="J20" s="567">
        <v>0</v>
      </c>
      <c r="K20" s="567">
        <v>0</v>
      </c>
      <c r="L20" s="567">
        <v>0</v>
      </c>
      <c r="M20" s="567">
        <v>0</v>
      </c>
      <c r="N20" s="567">
        <v>0</v>
      </c>
      <c r="O20" s="567">
        <v>0</v>
      </c>
      <c r="P20" s="567">
        <v>0</v>
      </c>
      <c r="Q20" s="567">
        <v>0</v>
      </c>
      <c r="R20" s="567">
        <v>0</v>
      </c>
    </row>
    <row r="21" spans="2:18" x14ac:dyDescent="0.25">
      <c r="B21" s="555" t="s">
        <v>607</v>
      </c>
      <c r="C21" s="556" t="s">
        <v>594</v>
      </c>
      <c r="D21" s="568">
        <v>0</v>
      </c>
      <c r="E21" s="568">
        <v>0</v>
      </c>
      <c r="F21" s="568">
        <v>0</v>
      </c>
      <c r="G21" s="568">
        <v>0</v>
      </c>
      <c r="H21" s="567">
        <v>0</v>
      </c>
      <c r="I21" s="568">
        <v>0</v>
      </c>
      <c r="J21" s="567">
        <v>0</v>
      </c>
      <c r="K21" s="567">
        <v>0</v>
      </c>
      <c r="L21" s="567">
        <v>0</v>
      </c>
      <c r="M21" s="567">
        <v>0</v>
      </c>
      <c r="N21" s="567">
        <v>0</v>
      </c>
      <c r="O21" s="567">
        <v>0</v>
      </c>
      <c r="P21" s="567">
        <v>0</v>
      </c>
      <c r="Q21" s="567">
        <v>0</v>
      </c>
      <c r="R21" s="567">
        <v>0</v>
      </c>
    </row>
    <row r="22" spans="2:18" ht="30" x14ac:dyDescent="0.25">
      <c r="B22" s="555" t="s">
        <v>608</v>
      </c>
      <c r="C22" s="556" t="s">
        <v>596</v>
      </c>
      <c r="D22" s="568">
        <v>0</v>
      </c>
      <c r="E22" s="568">
        <v>0</v>
      </c>
      <c r="F22" s="568">
        <v>0</v>
      </c>
      <c r="G22" s="568">
        <v>0</v>
      </c>
      <c r="H22" s="567">
        <v>0</v>
      </c>
      <c r="I22" s="568">
        <v>0</v>
      </c>
      <c r="J22" s="567">
        <v>0</v>
      </c>
      <c r="K22" s="567">
        <v>0</v>
      </c>
      <c r="L22" s="567">
        <v>0</v>
      </c>
      <c r="M22" s="567">
        <v>0</v>
      </c>
      <c r="N22" s="567">
        <v>0</v>
      </c>
      <c r="O22" s="567">
        <v>0</v>
      </c>
      <c r="P22" s="567">
        <v>0</v>
      </c>
      <c r="Q22" s="567">
        <v>0</v>
      </c>
      <c r="R22" s="567">
        <v>0</v>
      </c>
    </row>
    <row r="23" spans="2:18" x14ac:dyDescent="0.25">
      <c r="B23" s="555" t="s">
        <v>609</v>
      </c>
      <c r="C23" s="556" t="s">
        <v>598</v>
      </c>
      <c r="D23" s="568">
        <v>0</v>
      </c>
      <c r="E23" s="568">
        <v>0</v>
      </c>
      <c r="F23" s="568">
        <v>0</v>
      </c>
      <c r="G23" s="568">
        <v>0</v>
      </c>
      <c r="H23" s="567">
        <v>0</v>
      </c>
      <c r="I23" s="568">
        <v>0</v>
      </c>
      <c r="J23" s="567">
        <v>0</v>
      </c>
      <c r="K23" s="567">
        <v>0</v>
      </c>
      <c r="L23" s="567">
        <v>0</v>
      </c>
      <c r="M23" s="567">
        <v>0</v>
      </c>
      <c r="N23" s="567">
        <v>0</v>
      </c>
      <c r="O23" s="567">
        <v>0</v>
      </c>
      <c r="P23" s="567">
        <v>0</v>
      </c>
      <c r="Q23" s="567">
        <v>0</v>
      </c>
      <c r="R23" s="567">
        <v>0</v>
      </c>
    </row>
    <row r="24" spans="2:18" ht="30" x14ac:dyDescent="0.25">
      <c r="B24" s="553" t="s">
        <v>610</v>
      </c>
      <c r="C24" s="554" t="s">
        <v>420</v>
      </c>
      <c r="D24" s="567">
        <f>3817712858/1000</f>
        <v>3817712.858</v>
      </c>
      <c r="E24" s="567">
        <f>3552700624/1000</f>
        <v>3552700.6239999998</v>
      </c>
      <c r="F24" s="567">
        <f>265012234/1000</f>
        <v>265012.234</v>
      </c>
      <c r="G24" s="567">
        <f>45009767/1000</f>
        <v>45009.767</v>
      </c>
      <c r="H24" s="567">
        <v>0</v>
      </c>
      <c r="I24" s="567">
        <f>45009767/1000</f>
        <v>45009.767</v>
      </c>
      <c r="J24" s="567">
        <f>11554000/1000</f>
        <v>11554</v>
      </c>
      <c r="K24" s="567">
        <f>9531000/1000</f>
        <v>9531</v>
      </c>
      <c r="L24" s="567">
        <f>2023001/1000</f>
        <v>2023.001</v>
      </c>
      <c r="M24" s="567">
        <f>12847000/1000</f>
        <v>12847</v>
      </c>
      <c r="N24" s="567">
        <v>0</v>
      </c>
      <c r="O24" s="567">
        <f>12847000/1000</f>
        <v>12847</v>
      </c>
      <c r="P24" s="569"/>
      <c r="Q24" s="567">
        <v>0</v>
      </c>
      <c r="R24" s="567">
        <v>0</v>
      </c>
    </row>
    <row r="25" spans="2:18" x14ac:dyDescent="0.25">
      <c r="B25" s="555" t="s">
        <v>611</v>
      </c>
      <c r="C25" s="556" t="s">
        <v>590</v>
      </c>
      <c r="D25" s="567">
        <v>0</v>
      </c>
      <c r="E25" s="567">
        <v>0</v>
      </c>
      <c r="F25" s="567">
        <v>0</v>
      </c>
      <c r="G25" s="567">
        <v>0</v>
      </c>
      <c r="H25" s="567">
        <v>0</v>
      </c>
      <c r="I25" s="567">
        <v>0</v>
      </c>
      <c r="J25" s="567">
        <v>0</v>
      </c>
      <c r="K25" s="567">
        <v>0</v>
      </c>
      <c r="L25" s="567">
        <v>0</v>
      </c>
      <c r="M25" s="567">
        <v>0</v>
      </c>
      <c r="N25" s="567">
        <v>0</v>
      </c>
      <c r="O25" s="567">
        <v>0</v>
      </c>
      <c r="P25" s="569"/>
      <c r="Q25" s="567">
        <v>0</v>
      </c>
      <c r="R25" s="567">
        <v>0</v>
      </c>
    </row>
    <row r="26" spans="2:18" x14ac:dyDescent="0.25">
      <c r="B26" s="555" t="s">
        <v>612</v>
      </c>
      <c r="C26" s="556" t="s">
        <v>592</v>
      </c>
      <c r="D26" s="567">
        <f>(2779202+2060585)/1000</f>
        <v>4839.7870000000003</v>
      </c>
      <c r="E26" s="567">
        <f>(2779202+1470585)/1000</f>
        <v>4249.7870000000003</v>
      </c>
      <c r="F26" s="567">
        <f>590000/1000</f>
        <v>590</v>
      </c>
      <c r="G26" s="567">
        <v>0</v>
      </c>
      <c r="H26" s="567">
        <v>0</v>
      </c>
      <c r="I26" s="567">
        <v>0</v>
      </c>
      <c r="J26" s="567">
        <f>(6948+140735)/1000</f>
        <v>147.68299999999999</v>
      </c>
      <c r="K26" s="567">
        <f>(6948+697)/1000</f>
        <v>7.6449999999999996</v>
      </c>
      <c r="L26" s="567">
        <f>140038/1000</f>
        <v>140.03800000000001</v>
      </c>
      <c r="M26" s="567">
        <v>0</v>
      </c>
      <c r="N26" s="567">
        <v>0</v>
      </c>
      <c r="O26" s="567">
        <v>0</v>
      </c>
      <c r="P26" s="569"/>
      <c r="Q26" s="567">
        <v>0</v>
      </c>
      <c r="R26" s="567">
        <v>0</v>
      </c>
    </row>
    <row r="27" spans="2:18" x14ac:dyDescent="0.25">
      <c r="B27" s="555" t="s">
        <v>613</v>
      </c>
      <c r="C27" s="556" t="s">
        <v>594</v>
      </c>
      <c r="D27" s="567">
        <f>(28064489+41224281)/1000</f>
        <v>69288.77</v>
      </c>
      <c r="E27" s="567">
        <f>(28064489+41224281)/1000</f>
        <v>69288.77</v>
      </c>
      <c r="F27" s="567">
        <v>0</v>
      </c>
      <c r="G27" s="567">
        <v>0</v>
      </c>
      <c r="H27" s="567">
        <v>0</v>
      </c>
      <c r="I27" s="567">
        <v>0</v>
      </c>
      <c r="J27" s="567">
        <v>0</v>
      </c>
      <c r="K27" s="567">
        <v>0</v>
      </c>
      <c r="L27" s="567">
        <v>0</v>
      </c>
      <c r="M27" s="567">
        <f>3500000/1000</f>
        <v>3500</v>
      </c>
      <c r="N27" s="567">
        <v>0</v>
      </c>
      <c r="O27" s="567">
        <f>3500000/1000</f>
        <v>3500</v>
      </c>
      <c r="P27" s="569"/>
      <c r="Q27" s="567">
        <v>0</v>
      </c>
      <c r="R27" s="567">
        <v>0</v>
      </c>
    </row>
    <row r="28" spans="2:18" ht="30" x14ac:dyDescent="0.25">
      <c r="B28" s="555" t="s">
        <v>614</v>
      </c>
      <c r="C28" s="556" t="s">
        <v>596</v>
      </c>
      <c r="D28" s="567">
        <f>(130243267+7104507)/1000</f>
        <v>137347.774</v>
      </c>
      <c r="E28" s="567">
        <f>(126504658+6784927)/1000</f>
        <v>133289.58499999999</v>
      </c>
      <c r="F28" s="567">
        <f>(3738609+319579)/1000</f>
        <v>4058.1880000000001</v>
      </c>
      <c r="G28" s="567">
        <v>30</v>
      </c>
      <c r="H28" s="567">
        <v>0</v>
      </c>
      <c r="I28" s="567">
        <v>30</v>
      </c>
      <c r="J28" s="567">
        <f>(81190+1728)/1000</f>
        <v>82.918000000000006</v>
      </c>
      <c r="K28" s="567">
        <f>(81190+1728)/1000</f>
        <v>82.918000000000006</v>
      </c>
      <c r="L28" s="567">
        <v>0</v>
      </c>
      <c r="M28" s="567">
        <v>30.917000000000002</v>
      </c>
      <c r="N28" s="567">
        <v>0</v>
      </c>
      <c r="O28" s="567">
        <v>30.917000000000002</v>
      </c>
      <c r="P28" s="569"/>
      <c r="Q28" s="567">
        <v>0</v>
      </c>
      <c r="R28" s="567">
        <v>0</v>
      </c>
    </row>
    <row r="29" spans="2:18" x14ac:dyDescent="0.25">
      <c r="B29" s="555" t="s">
        <v>615</v>
      </c>
      <c r="C29" s="556" t="s">
        <v>598</v>
      </c>
      <c r="D29" s="567">
        <f>(1378965418+305160051)/1000</f>
        <v>1684125.469</v>
      </c>
      <c r="E29" s="567">
        <f>(1324984821+293050999)/1000</f>
        <v>1618035.82</v>
      </c>
      <c r="F29" s="567">
        <f>(53980597+12109052)/1000</f>
        <v>66089.649000000005</v>
      </c>
      <c r="G29" s="567">
        <f>(8327717+4207971)/1000</f>
        <v>12535.688</v>
      </c>
      <c r="H29" s="567">
        <v>0</v>
      </c>
      <c r="I29" s="567">
        <f>(8327717+4207971)/1000</f>
        <v>12535.688</v>
      </c>
      <c r="J29" s="567">
        <f>(1324379+2827597)/1000</f>
        <v>4151.9759999999997</v>
      </c>
      <c r="K29" s="567">
        <f>(1065479+2805213)/1000</f>
        <v>3870.692</v>
      </c>
      <c r="L29" s="567">
        <f>(258900+22384)/1000</f>
        <v>281.28399999999999</v>
      </c>
      <c r="M29" s="567">
        <f>(1746119+1637604)/1000</f>
        <v>3383.723</v>
      </c>
      <c r="N29" s="567">
        <v>0</v>
      </c>
      <c r="O29" s="567">
        <f>(1746119+1637604)/1000</f>
        <v>3383.723</v>
      </c>
      <c r="P29" s="569"/>
      <c r="Q29" s="567">
        <v>0</v>
      </c>
      <c r="R29" s="567">
        <v>0</v>
      </c>
    </row>
    <row r="30" spans="2:18" x14ac:dyDescent="0.25">
      <c r="B30" s="555" t="s">
        <v>616</v>
      </c>
      <c r="C30" s="556" t="s">
        <v>602</v>
      </c>
      <c r="D30" s="567">
        <f>(945993481+976117577)/1000</f>
        <v>1922111.058</v>
      </c>
      <c r="E30" s="567">
        <f>(861654454+866182208)/1000</f>
        <v>1727836.662</v>
      </c>
      <c r="F30" s="567">
        <f>(84339028+109935369)/1000</f>
        <v>194274.397</v>
      </c>
      <c r="G30" s="567">
        <f>(5023050+27421029)/1000</f>
        <v>32444.079000000002</v>
      </c>
      <c r="H30" s="567">
        <v>0</v>
      </c>
      <c r="I30" s="567">
        <f>(5023050+27421029)/1000</f>
        <v>32444.079000000002</v>
      </c>
      <c r="J30" s="567">
        <f>(3560483+3610940)/1000</f>
        <v>7171.4229999999998</v>
      </c>
      <c r="K30" s="567">
        <f>(2706383+2863361)/1000</f>
        <v>5569.7439999999997</v>
      </c>
      <c r="L30" s="567">
        <f>(854100+747579)/1000</f>
        <v>1601.6790000000001</v>
      </c>
      <c r="M30" s="567">
        <f>(854964+5077396)/1000</f>
        <v>5932.36</v>
      </c>
      <c r="N30" s="567">
        <v>0</v>
      </c>
      <c r="O30" s="567">
        <f>(854964+5077396)/1000</f>
        <v>5932.36</v>
      </c>
      <c r="P30" s="569"/>
      <c r="Q30" s="567">
        <v>0</v>
      </c>
      <c r="R30" s="567">
        <v>0</v>
      </c>
    </row>
    <row r="31" spans="2:18" x14ac:dyDescent="0.25">
      <c r="B31" s="557" t="s">
        <v>617</v>
      </c>
      <c r="C31" s="558" t="s">
        <v>0</v>
      </c>
      <c r="D31" s="570">
        <f>+D9+D10+D18+D24</f>
        <v>8434135.4030000009</v>
      </c>
      <c r="E31" s="570">
        <f t="shared" ref="E31:J31" si="0">+E9+E10+E18+E24</f>
        <v>7676719.358</v>
      </c>
      <c r="F31" s="570">
        <f t="shared" si="0"/>
        <v>757416.04499999993</v>
      </c>
      <c r="G31" s="570">
        <f t="shared" si="0"/>
        <v>279302.76699999999</v>
      </c>
      <c r="H31" s="570">
        <f t="shared" si="0"/>
        <v>0</v>
      </c>
      <c r="I31" s="570">
        <f t="shared" si="0"/>
        <v>279302.76699999999</v>
      </c>
      <c r="J31" s="570">
        <f t="shared" si="0"/>
        <v>-27375.999000000003</v>
      </c>
      <c r="K31" s="570">
        <f t="shared" ref="K31:L31" si="1">+K9+K10+K18+K24</f>
        <v>-11200</v>
      </c>
      <c r="L31" s="570">
        <f t="shared" si="1"/>
        <v>-16175.999</v>
      </c>
      <c r="M31" s="570">
        <f>+M9+M10+M18+M24</f>
        <v>-130234.47</v>
      </c>
      <c r="N31" s="570">
        <f>+N9+N10+N18+N24</f>
        <v>0</v>
      </c>
      <c r="O31" s="570">
        <f>+O9+O10+O18+O24</f>
        <v>-130962</v>
      </c>
      <c r="P31" s="570">
        <f t="shared" ref="P31:R31" si="2">+P9+P10+P18+P24</f>
        <v>0</v>
      </c>
      <c r="Q31" s="570">
        <f t="shared" si="2"/>
        <v>0</v>
      </c>
      <c r="R31" s="570">
        <f t="shared" si="2"/>
        <v>0</v>
      </c>
    </row>
  </sheetData>
  <mergeCells count="11">
    <mergeCell ref="B7:C7"/>
    <mergeCell ref="D6:I6"/>
    <mergeCell ref="J6:O6"/>
    <mergeCell ref="P6:P7"/>
    <mergeCell ref="Q6:R6"/>
    <mergeCell ref="D7:F7"/>
    <mergeCell ref="G7:I7"/>
    <mergeCell ref="J7:L7"/>
    <mergeCell ref="M7:O7"/>
    <mergeCell ref="Q7:Q8"/>
    <mergeCell ref="R7:R8"/>
  </mergeCells>
  <hyperlinks>
    <hyperlink ref="B2" location="Indhold!B21" display="Skema EU CR1: Ikkemisligholdte og misligholdte eksponeringer og dertil knyttede bestemmelser. " xr:uid="{5CC4DE6C-6CC9-4301-AC72-FE8ED32A62F7}"/>
  </hyperlinks>
  <pageMargins left="0.70866141732283472" right="0.70866141732283472" top="0.74803149606299213" bottom="0.74803149606299213" header="0.31496062992125984" footer="0.31496062992125984"/>
  <pageSetup paperSize="9" scale="77" fitToHeight="0" orientation="landscape" r:id="rId1"/>
  <headerFooter>
    <oddHeader>&amp;CDA
Bilag 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BADB5-A208-4CE5-A78F-166854033580}">
  <sheetPr>
    <pageSetUpPr fitToPage="1"/>
  </sheetPr>
  <dimension ref="B2:I14"/>
  <sheetViews>
    <sheetView showGridLines="0" zoomScaleNormal="100" workbookViewId="0">
      <selection activeCell="B2" sqref="B2"/>
    </sheetView>
  </sheetViews>
  <sheetFormatPr defaultRowHeight="15" x14ac:dyDescent="0.25"/>
  <cols>
    <col min="1" max="1" width="7.140625" customWidth="1"/>
    <col min="2" max="2" width="6.140625" customWidth="1"/>
    <col min="3" max="3" width="27" customWidth="1"/>
    <col min="4" max="4" width="18.5703125" bestFit="1" customWidth="1"/>
    <col min="5" max="5" width="10.7109375" customWidth="1"/>
    <col min="6" max="6" width="21.85546875" customWidth="1"/>
    <col min="7" max="7" width="13.140625" customWidth="1"/>
    <col min="8" max="8" width="11.42578125" customWidth="1"/>
    <col min="9" max="9" width="10.85546875" customWidth="1"/>
  </cols>
  <sheetData>
    <row r="2" spans="2:9" x14ac:dyDescent="0.25">
      <c r="B2" s="878" t="s">
        <v>618</v>
      </c>
    </row>
    <row r="3" spans="2:9" ht="15" customHeight="1" x14ac:dyDescent="0.3">
      <c r="B3" s="422"/>
    </row>
    <row r="4" spans="2:9" x14ac:dyDescent="0.25">
      <c r="B4" s="183"/>
    </row>
    <row r="5" spans="2:9" x14ac:dyDescent="0.25">
      <c r="B5" s="564"/>
      <c r="C5" s="514"/>
      <c r="D5" s="490" t="s">
        <v>105</v>
      </c>
      <c r="E5" s="490" t="s">
        <v>104</v>
      </c>
      <c r="F5" s="490" t="s">
        <v>99</v>
      </c>
      <c r="G5" s="490" t="s">
        <v>98</v>
      </c>
      <c r="H5" s="490" t="s">
        <v>97</v>
      </c>
      <c r="I5" s="490" t="s">
        <v>113</v>
      </c>
    </row>
    <row r="6" spans="2:9" x14ac:dyDescent="0.25">
      <c r="B6" s="514"/>
      <c r="C6" s="514"/>
      <c r="D6" s="1026" t="s">
        <v>619</v>
      </c>
      <c r="E6" s="1026"/>
      <c r="F6" s="1026"/>
      <c r="G6" s="1026"/>
      <c r="H6" s="1026"/>
      <c r="I6" s="1026"/>
    </row>
    <row r="7" spans="2:9" ht="42" customHeight="1" x14ac:dyDescent="0.25">
      <c r="B7" s="893" t="s">
        <v>1431</v>
      </c>
      <c r="C7" s="1027"/>
      <c r="D7" s="470" t="s">
        <v>620</v>
      </c>
      <c r="E7" s="470" t="s">
        <v>621</v>
      </c>
      <c r="F7" s="470" t="s">
        <v>622</v>
      </c>
      <c r="G7" s="470" t="s">
        <v>623</v>
      </c>
      <c r="H7" s="470" t="s">
        <v>624</v>
      </c>
      <c r="I7" s="470" t="s">
        <v>0</v>
      </c>
    </row>
    <row r="8" spans="2:9" x14ac:dyDescent="0.25">
      <c r="B8" s="138">
        <v>1</v>
      </c>
      <c r="C8" s="185" t="s">
        <v>589</v>
      </c>
      <c r="D8" s="565">
        <v>1237495</v>
      </c>
      <c r="E8" s="565">
        <v>406447</v>
      </c>
      <c r="F8" s="565">
        <v>985762</v>
      </c>
      <c r="G8" s="565">
        <v>902385</v>
      </c>
      <c r="H8" s="565">
        <v>0</v>
      </c>
      <c r="I8" s="565">
        <f>SUM(D8:H8)</f>
        <v>3532089</v>
      </c>
    </row>
    <row r="9" spans="2:9" x14ac:dyDescent="0.25">
      <c r="B9" s="138">
        <v>2</v>
      </c>
      <c r="C9" s="185" t="s">
        <v>604</v>
      </c>
      <c r="D9" s="566">
        <v>0</v>
      </c>
      <c r="E9" s="566">
        <v>0</v>
      </c>
      <c r="F9" s="566">
        <v>0</v>
      </c>
      <c r="G9" s="566">
        <v>0</v>
      </c>
      <c r="H9" s="566">
        <v>0</v>
      </c>
      <c r="I9" s="566">
        <v>0</v>
      </c>
    </row>
    <row r="10" spans="2:9" x14ac:dyDescent="0.25">
      <c r="B10" s="186">
        <v>3</v>
      </c>
      <c r="C10" s="187" t="s">
        <v>0</v>
      </c>
      <c r="D10" s="566">
        <f>SUM(D8:D9)</f>
        <v>1237495</v>
      </c>
      <c r="E10" s="566">
        <f t="shared" ref="E10:I10" si="0">SUM(E8:E9)</f>
        <v>406447</v>
      </c>
      <c r="F10" s="566">
        <f t="shared" si="0"/>
        <v>985762</v>
      </c>
      <c r="G10" s="566">
        <f t="shared" si="0"/>
        <v>902385</v>
      </c>
      <c r="H10" s="566">
        <f t="shared" si="0"/>
        <v>0</v>
      </c>
      <c r="I10" s="566">
        <f t="shared" si="0"/>
        <v>3532089</v>
      </c>
    </row>
    <row r="14" spans="2:9" x14ac:dyDescent="0.25">
      <c r="I14" s="359"/>
    </row>
  </sheetData>
  <mergeCells count="2">
    <mergeCell ref="D6:I6"/>
    <mergeCell ref="B7:C7"/>
  </mergeCells>
  <hyperlinks>
    <hyperlink ref="B2" location="Indhold!B24" display="Skema EU CR1-A: Løbetid på eksponeringer" xr:uid="{6C46E22A-AF5C-4F42-8B3B-1FCE3C76B78F}"/>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1713-7161-4D22-B3E5-7239387ED030}">
  <sheetPr>
    <pageSetUpPr fitToPage="1"/>
  </sheetPr>
  <dimension ref="B2:E12"/>
  <sheetViews>
    <sheetView showGridLines="0" zoomScaleNormal="100" workbookViewId="0">
      <selection activeCell="B2" sqref="B2"/>
    </sheetView>
  </sheetViews>
  <sheetFormatPr defaultRowHeight="15" x14ac:dyDescent="0.25"/>
  <cols>
    <col min="1" max="1" width="7" customWidth="1"/>
    <col min="2" max="2" width="4.7109375" customWidth="1"/>
    <col min="3" max="3" width="58.5703125" customWidth="1"/>
    <col min="4" max="4" width="27.28515625" customWidth="1"/>
    <col min="6" max="6" width="3.28515625" customWidth="1"/>
    <col min="7" max="7" width="54.5703125" customWidth="1"/>
    <col min="8" max="8" width="25" customWidth="1"/>
  </cols>
  <sheetData>
    <row r="2" spans="2:5" x14ac:dyDescent="0.25">
      <c r="B2" s="878" t="s">
        <v>625</v>
      </c>
      <c r="C2" s="1"/>
      <c r="D2" s="1"/>
      <c r="E2" s="1"/>
    </row>
    <row r="3" spans="2:5" ht="15.75" x14ac:dyDescent="0.25">
      <c r="B3" s="188"/>
      <c r="C3" s="189"/>
      <c r="D3" s="189"/>
      <c r="E3" s="1"/>
    </row>
    <row r="4" spans="2:5" ht="15.75" x14ac:dyDescent="0.25">
      <c r="B4" s="188"/>
      <c r="C4" s="189"/>
      <c r="D4" s="189"/>
      <c r="E4" s="1"/>
    </row>
    <row r="5" spans="2:5" x14ac:dyDescent="0.25">
      <c r="B5" s="447"/>
      <c r="C5" s="446"/>
      <c r="D5" s="470" t="s">
        <v>105</v>
      </c>
      <c r="E5" s="1"/>
    </row>
    <row r="6" spans="2:5" ht="30" x14ac:dyDescent="0.25">
      <c r="B6" s="447" t="s">
        <v>1431</v>
      </c>
      <c r="C6" s="446"/>
      <c r="D6" s="574" t="s">
        <v>626</v>
      </c>
      <c r="E6" s="1"/>
    </row>
    <row r="7" spans="2:5" ht="25.5" customHeight="1" x14ac:dyDescent="0.25">
      <c r="B7" s="575" t="s">
        <v>348</v>
      </c>
      <c r="C7" s="5" t="s">
        <v>627</v>
      </c>
      <c r="D7" s="576">
        <f>298980204/1000</f>
        <v>298980.20400000003</v>
      </c>
      <c r="E7" s="1"/>
    </row>
    <row r="8" spans="2:5" ht="25.5" customHeight="1" x14ac:dyDescent="0.25">
      <c r="B8" s="577" t="s">
        <v>354</v>
      </c>
      <c r="C8" s="9" t="s">
        <v>628</v>
      </c>
      <c r="D8" s="576">
        <v>19801</v>
      </c>
      <c r="E8" s="1"/>
    </row>
    <row r="9" spans="2:5" ht="25.5" customHeight="1" x14ac:dyDescent="0.25">
      <c r="B9" s="577" t="s">
        <v>591</v>
      </c>
      <c r="C9" s="9" t="s">
        <v>629</v>
      </c>
      <c r="D9" s="576">
        <v>54071</v>
      </c>
      <c r="E9" s="1"/>
    </row>
    <row r="10" spans="2:5" ht="25.5" customHeight="1" x14ac:dyDescent="0.25">
      <c r="B10" s="577" t="s">
        <v>593</v>
      </c>
      <c r="C10" s="11" t="s">
        <v>630</v>
      </c>
      <c r="D10" s="576">
        <v>7929</v>
      </c>
      <c r="E10" s="1"/>
    </row>
    <row r="11" spans="2:5" ht="25.5" customHeight="1" x14ac:dyDescent="0.25">
      <c r="B11" s="577" t="s">
        <v>595</v>
      </c>
      <c r="C11" s="11" t="s">
        <v>631</v>
      </c>
      <c r="D11" s="576">
        <f>+D7-D10-D12-D9+D8</f>
        <v>-5875.7119999999995</v>
      </c>
      <c r="E11" s="1"/>
    </row>
    <row r="12" spans="2:5" ht="25.5" customHeight="1" x14ac:dyDescent="0.25">
      <c r="B12" s="575" t="s">
        <v>597</v>
      </c>
      <c r="C12" s="5" t="s">
        <v>632</v>
      </c>
      <c r="D12" s="576">
        <f>262656916/1000</f>
        <v>262656.91600000003</v>
      </c>
      <c r="E12" s="1"/>
    </row>
  </sheetData>
  <hyperlinks>
    <hyperlink ref="B2" location="Indhold!B25" display="Skema EU CR2: Ændringer i beholdningen af misligholdte lån og forskud" xr:uid="{F77C5E72-B802-4A9D-9854-905B38AC6B49}"/>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93C-AF16-473E-BDC2-05FDAFE13494}">
  <dimension ref="B2:G13"/>
  <sheetViews>
    <sheetView showGridLines="0" zoomScaleNormal="100" workbookViewId="0">
      <selection activeCell="B7" sqref="B7"/>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769" t="s">
        <v>1244</v>
      </c>
      <c r="C2" s="769"/>
      <c r="D2" s="92"/>
    </row>
    <row r="3" spans="2:7" ht="18.75" x14ac:dyDescent="0.3">
      <c r="B3" s="769"/>
      <c r="C3" s="769"/>
      <c r="D3" s="92"/>
    </row>
    <row r="5" spans="2:7" ht="18.75" x14ac:dyDescent="0.3">
      <c r="B5" s="92"/>
      <c r="C5" s="92"/>
    </row>
    <row r="6" spans="2:7" ht="149.25" customHeight="1" x14ac:dyDescent="0.25">
      <c r="B6" s="885" t="s">
        <v>1506</v>
      </c>
      <c r="C6" s="885"/>
      <c r="D6" s="886"/>
      <c r="E6" s="886"/>
      <c r="F6" s="886"/>
      <c r="G6" s="886"/>
    </row>
    <row r="7" spans="2:7" x14ac:dyDescent="0.25">
      <c r="B7" s="775"/>
      <c r="C7" s="775"/>
    </row>
    <row r="8" spans="2:7" x14ac:dyDescent="0.25">
      <c r="B8" s="776"/>
      <c r="C8" s="776"/>
    </row>
    <row r="9" spans="2:7" ht="15.75" x14ac:dyDescent="0.25">
      <c r="B9" s="771" t="s">
        <v>1505</v>
      </c>
      <c r="C9" s="771"/>
    </row>
    <row r="10" spans="2:7" ht="15.75" x14ac:dyDescent="0.25">
      <c r="B10" s="771"/>
      <c r="C10" s="771"/>
    </row>
    <row r="11" spans="2:7" ht="15.75" x14ac:dyDescent="0.25">
      <c r="B11" s="771"/>
      <c r="C11" s="771"/>
    </row>
    <row r="12" spans="2:7" ht="15.75" x14ac:dyDescent="0.25">
      <c r="B12" s="771" t="s">
        <v>1495</v>
      </c>
      <c r="C12" s="771"/>
    </row>
    <row r="13" spans="2:7" ht="15.75" x14ac:dyDescent="0.25">
      <c r="B13" s="771" t="s">
        <v>1496</v>
      </c>
      <c r="C13" s="771"/>
    </row>
  </sheetData>
  <mergeCells count="1">
    <mergeCell ref="B6:G6"/>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2B44-664C-4AB2-A7F3-4DC81BC740EE}">
  <sheetPr>
    <pageSetUpPr fitToPage="1"/>
  </sheetPr>
  <dimension ref="B2:K19"/>
  <sheetViews>
    <sheetView showGridLines="0" zoomScaleNormal="100" workbookViewId="0">
      <selection activeCell="B2" sqref="B2"/>
    </sheetView>
  </sheetViews>
  <sheetFormatPr defaultRowHeight="15" x14ac:dyDescent="0.25"/>
  <cols>
    <col min="3" max="3" width="59.140625" bestFit="1" customWidth="1"/>
    <col min="5" max="5" width="8" bestFit="1" customWidth="1"/>
    <col min="8" max="8" width="14.42578125" customWidth="1"/>
    <col min="9" max="9" width="17" customWidth="1"/>
    <col min="10" max="10" width="17.85546875" customWidth="1"/>
    <col min="11" max="11" width="18.5703125" customWidth="1"/>
  </cols>
  <sheetData>
    <row r="2" spans="2:11" x14ac:dyDescent="0.25">
      <c r="B2" s="878" t="s">
        <v>642</v>
      </c>
    </row>
    <row r="3" spans="2:11" ht="15.75" x14ac:dyDescent="0.25">
      <c r="B3" s="170"/>
      <c r="C3" s="171"/>
      <c r="D3" s="171"/>
      <c r="E3" s="171"/>
      <c r="F3" s="171"/>
      <c r="G3" s="171"/>
      <c r="H3" s="171"/>
      <c r="I3" s="171"/>
      <c r="J3" s="171"/>
      <c r="K3" s="171"/>
    </row>
    <row r="4" spans="2:11" ht="15.75" x14ac:dyDescent="0.25">
      <c r="B4" s="170"/>
      <c r="C4" s="826"/>
      <c r="D4" s="826"/>
      <c r="E4" s="826"/>
      <c r="F4" s="826"/>
      <c r="G4" s="826"/>
      <c r="H4" s="826"/>
      <c r="I4" s="826"/>
      <c r="J4" s="826"/>
      <c r="K4" s="826"/>
    </row>
    <row r="5" spans="2:11" ht="23.25" customHeight="1" x14ac:dyDescent="0.25">
      <c r="B5" s="549"/>
      <c r="C5" s="549"/>
      <c r="D5" s="571" t="s">
        <v>105</v>
      </c>
      <c r="E5" s="571" t="s">
        <v>104</v>
      </c>
      <c r="F5" s="571" t="s">
        <v>99</v>
      </c>
      <c r="G5" s="571" t="s">
        <v>98</v>
      </c>
      <c r="H5" s="571" t="s">
        <v>97</v>
      </c>
      <c r="I5" s="571" t="s">
        <v>113</v>
      </c>
      <c r="J5" s="571" t="s">
        <v>114</v>
      </c>
      <c r="K5" s="571" t="s">
        <v>169</v>
      </c>
    </row>
    <row r="6" spans="2:11" ht="49.5" customHeight="1" x14ac:dyDescent="0.25">
      <c r="B6" s="549"/>
      <c r="C6" s="549"/>
      <c r="D6" s="1028" t="s">
        <v>643</v>
      </c>
      <c r="E6" s="1028"/>
      <c r="F6" s="1028"/>
      <c r="G6" s="1028"/>
      <c r="H6" s="1028" t="s">
        <v>578</v>
      </c>
      <c r="I6" s="1028"/>
      <c r="J6" s="1028" t="s">
        <v>644</v>
      </c>
      <c r="K6" s="1028"/>
    </row>
    <row r="7" spans="2:11" ht="30" customHeight="1" x14ac:dyDescent="0.25">
      <c r="B7" s="549"/>
      <c r="C7" s="549"/>
      <c r="D7" s="1029" t="s">
        <v>1262</v>
      </c>
      <c r="E7" s="1031" t="s">
        <v>645</v>
      </c>
      <c r="F7" s="1031"/>
      <c r="G7" s="1031"/>
      <c r="H7" s="1032" t="s">
        <v>646</v>
      </c>
      <c r="I7" s="1032" t="s">
        <v>647</v>
      </c>
      <c r="J7" s="578"/>
      <c r="K7" s="1032" t="s">
        <v>648</v>
      </c>
    </row>
    <row r="8" spans="2:11" ht="66.75" customHeight="1" x14ac:dyDescent="0.25">
      <c r="B8" s="447" t="s">
        <v>1431</v>
      </c>
      <c r="C8" s="549"/>
      <c r="D8" s="1030"/>
      <c r="E8" s="579"/>
      <c r="F8" s="572" t="s">
        <v>1263</v>
      </c>
      <c r="G8" s="580" t="s">
        <v>1264</v>
      </c>
      <c r="H8" s="1033"/>
      <c r="I8" s="1033"/>
      <c r="J8" s="581"/>
      <c r="K8" s="1033"/>
    </row>
    <row r="9" spans="2:11" x14ac:dyDescent="0.25">
      <c r="B9" s="582" t="s">
        <v>587</v>
      </c>
      <c r="C9" s="583" t="s">
        <v>588</v>
      </c>
      <c r="D9" s="584">
        <v>0</v>
      </c>
      <c r="E9" s="584">
        <v>0</v>
      </c>
      <c r="F9" s="584">
        <v>0</v>
      </c>
      <c r="G9" s="584">
        <v>0</v>
      </c>
      <c r="H9" s="584">
        <v>0</v>
      </c>
      <c r="I9" s="584">
        <v>0</v>
      </c>
      <c r="J9" s="584">
        <v>0</v>
      </c>
      <c r="K9" s="585">
        <v>0</v>
      </c>
    </row>
    <row r="10" spans="2:11" x14ac:dyDescent="0.25">
      <c r="B10" s="582" t="s">
        <v>348</v>
      </c>
      <c r="C10" s="583" t="s">
        <v>589</v>
      </c>
      <c r="D10" s="584">
        <f>356606/1000</f>
        <v>356.60599999999999</v>
      </c>
      <c r="E10" s="584">
        <f>86029219/1000</f>
        <v>86029.218999999997</v>
      </c>
      <c r="F10" s="584">
        <f>74566668/1000</f>
        <v>74566.668000000005</v>
      </c>
      <c r="G10" s="584">
        <f>77795226/1000</f>
        <v>77795.225999999995</v>
      </c>
      <c r="H10" s="584">
        <v>-12.209</v>
      </c>
      <c r="I10" s="584">
        <f>-73042572/1000</f>
        <v>-73042.572</v>
      </c>
      <c r="J10" s="584">
        <v>0</v>
      </c>
      <c r="K10" s="585">
        <v>0</v>
      </c>
    </row>
    <row r="11" spans="2:11" x14ac:dyDescent="0.25">
      <c r="B11" s="586" t="s">
        <v>354</v>
      </c>
      <c r="C11" s="587" t="s">
        <v>590</v>
      </c>
      <c r="D11" s="584">
        <v>0</v>
      </c>
      <c r="E11" s="584">
        <v>0</v>
      </c>
      <c r="F11" s="584">
        <v>0</v>
      </c>
      <c r="G11" s="584">
        <v>0</v>
      </c>
      <c r="H11" s="584">
        <v>0</v>
      </c>
      <c r="I11" s="584">
        <v>0</v>
      </c>
      <c r="J11" s="584">
        <v>0</v>
      </c>
      <c r="K11" s="585">
        <v>0</v>
      </c>
    </row>
    <row r="12" spans="2:11" x14ac:dyDescent="0.25">
      <c r="B12" s="586" t="s">
        <v>591</v>
      </c>
      <c r="C12" s="587" t="s">
        <v>592</v>
      </c>
      <c r="D12" s="584">
        <v>0</v>
      </c>
      <c r="E12" s="584">
        <v>0</v>
      </c>
      <c r="F12" s="584">
        <v>0</v>
      </c>
      <c r="G12" s="584">
        <v>0</v>
      </c>
      <c r="H12" s="584">
        <v>0</v>
      </c>
      <c r="I12" s="584">
        <v>0</v>
      </c>
      <c r="J12" s="584">
        <v>0</v>
      </c>
      <c r="K12" s="585">
        <v>0</v>
      </c>
    </row>
    <row r="13" spans="2:11" x14ac:dyDescent="0.25">
      <c r="B13" s="586" t="s">
        <v>593</v>
      </c>
      <c r="C13" s="587" t="s">
        <v>594</v>
      </c>
      <c r="D13" s="584">
        <v>0</v>
      </c>
      <c r="E13" s="584">
        <v>0</v>
      </c>
      <c r="F13" s="584">
        <v>0</v>
      </c>
      <c r="G13" s="584">
        <v>0</v>
      </c>
      <c r="H13" s="584">
        <v>0</v>
      </c>
      <c r="I13" s="584">
        <v>0</v>
      </c>
      <c r="J13" s="584">
        <v>0</v>
      </c>
      <c r="K13" s="585">
        <v>0</v>
      </c>
    </row>
    <row r="14" spans="2:11" x14ac:dyDescent="0.25">
      <c r="B14" s="586" t="s">
        <v>595</v>
      </c>
      <c r="C14" s="587" t="s">
        <v>596</v>
      </c>
      <c r="D14" s="584">
        <v>0</v>
      </c>
      <c r="E14" s="584">
        <f>11462551/1000</f>
        <v>11462.550999999999</v>
      </c>
      <c r="F14" s="584">
        <v>0</v>
      </c>
      <c r="G14" s="584">
        <f>11462551/1000</f>
        <v>11462.550999999999</v>
      </c>
      <c r="H14" s="584">
        <v>0</v>
      </c>
      <c r="I14" s="584">
        <f>-11462551/1000</f>
        <v>-11462.550999999999</v>
      </c>
      <c r="J14" s="584">
        <v>0</v>
      </c>
      <c r="K14" s="585">
        <v>0</v>
      </c>
    </row>
    <row r="15" spans="2:11" x14ac:dyDescent="0.25">
      <c r="B15" s="586" t="s">
        <v>597</v>
      </c>
      <c r="C15" s="587" t="s">
        <v>598</v>
      </c>
      <c r="D15" s="584">
        <v>0</v>
      </c>
      <c r="E15" s="584">
        <f>16278550/1000</f>
        <v>16278.55</v>
      </c>
      <c r="F15" s="584">
        <f>16278550/1000</f>
        <v>16278.55</v>
      </c>
      <c r="G15" s="584">
        <f>8397443/1000</f>
        <v>8397.4429999999993</v>
      </c>
      <c r="H15" s="584">
        <v>0</v>
      </c>
      <c r="I15" s="584">
        <f>-6746809/1000</f>
        <v>-6746.8090000000002</v>
      </c>
      <c r="J15" s="584">
        <v>0</v>
      </c>
      <c r="K15" s="585">
        <v>0</v>
      </c>
    </row>
    <row r="16" spans="2:11" x14ac:dyDescent="0.25">
      <c r="B16" s="586" t="s">
        <v>599</v>
      </c>
      <c r="C16" s="587" t="s">
        <v>602</v>
      </c>
      <c r="D16" s="584">
        <f>356606/1000</f>
        <v>356.60599999999999</v>
      </c>
      <c r="E16" s="584">
        <f>58288118/1000</f>
        <v>58288.118000000002</v>
      </c>
      <c r="F16" s="584">
        <f>58288118/1000</f>
        <v>58288.118000000002</v>
      </c>
      <c r="G16" s="584">
        <f>57935231/1000</f>
        <v>57935.231</v>
      </c>
      <c r="H16" s="584">
        <v>-12.209</v>
      </c>
      <c r="I16" s="584">
        <f>-54833212/1000</f>
        <v>-54833.212</v>
      </c>
      <c r="J16" s="584">
        <v>0</v>
      </c>
      <c r="K16" s="585">
        <v>0</v>
      </c>
    </row>
    <row r="17" spans="2:11" x14ac:dyDescent="0.25">
      <c r="B17" s="582" t="s">
        <v>601</v>
      </c>
      <c r="C17" s="583" t="s">
        <v>604</v>
      </c>
      <c r="D17" s="584">
        <v>0</v>
      </c>
      <c r="E17" s="584"/>
      <c r="F17" s="584"/>
      <c r="G17" s="584"/>
      <c r="H17" s="584">
        <v>0</v>
      </c>
      <c r="I17" s="584">
        <v>0</v>
      </c>
      <c r="J17" s="584">
        <v>0</v>
      </c>
      <c r="K17" s="585">
        <v>0</v>
      </c>
    </row>
    <row r="18" spans="2:11" x14ac:dyDescent="0.25">
      <c r="B18" s="582" t="s">
        <v>603</v>
      </c>
      <c r="C18" s="583" t="s">
        <v>649</v>
      </c>
      <c r="D18" s="584">
        <v>0</v>
      </c>
      <c r="E18" s="584"/>
      <c r="F18" s="584"/>
      <c r="G18" s="584"/>
      <c r="H18" s="584">
        <v>0</v>
      </c>
      <c r="I18" s="584">
        <v>0</v>
      </c>
      <c r="J18" s="584">
        <v>0</v>
      </c>
      <c r="K18" s="585">
        <v>0</v>
      </c>
    </row>
    <row r="19" spans="2:11" x14ac:dyDescent="0.25">
      <c r="B19" s="588">
        <v>100</v>
      </c>
      <c r="C19" s="589" t="s">
        <v>0</v>
      </c>
      <c r="D19" s="584">
        <f>+D9+D10+D17+D18</f>
        <v>356.60599999999999</v>
      </c>
      <c r="E19" s="584">
        <f t="shared" ref="E19:K19" si="0">+E9+E10+E17+E18</f>
        <v>86029.218999999997</v>
      </c>
      <c r="F19" s="584">
        <f t="shared" si="0"/>
        <v>74566.668000000005</v>
      </c>
      <c r="G19" s="584">
        <f t="shared" si="0"/>
        <v>77795.225999999995</v>
      </c>
      <c r="H19" s="584">
        <f t="shared" si="0"/>
        <v>-12.209</v>
      </c>
      <c r="I19" s="584">
        <f t="shared" si="0"/>
        <v>-73042.572</v>
      </c>
      <c r="J19" s="584">
        <f t="shared" si="0"/>
        <v>0</v>
      </c>
      <c r="K19" s="585">
        <f t="shared" si="0"/>
        <v>0</v>
      </c>
    </row>
  </sheetData>
  <mergeCells count="8">
    <mergeCell ref="D6:G6"/>
    <mergeCell ref="H6:I6"/>
    <mergeCell ref="J6:K6"/>
    <mergeCell ref="D7:D8"/>
    <mergeCell ref="E7:G7"/>
    <mergeCell ref="H7:H8"/>
    <mergeCell ref="I7:I8"/>
    <mergeCell ref="K7:K8"/>
  </mergeCells>
  <hyperlinks>
    <hyperlink ref="B2" location="Indhold!B26" display="Skema EU CQ1: Kreditkvalitet af eksponeringer med kreditlempelser" xr:uid="{BBA3887F-8B8E-4654-8B84-7A58E9BAB141}"/>
  </hyperlinks>
  <pageMargins left="0.70866141732283472" right="0.70866141732283472" top="0.74803149606299213" bottom="0.74803149606299213" header="0.31496062992125984" footer="0.31496062992125984"/>
  <pageSetup paperSize="9" scale="93" fitToHeight="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82A46-853D-4539-8D76-A61C69D62029}">
  <sheetPr>
    <pageSetUpPr fitToPage="1"/>
  </sheetPr>
  <dimension ref="B2:O33"/>
  <sheetViews>
    <sheetView showGridLines="0" zoomScaleNormal="100" workbookViewId="0">
      <selection activeCell="B2" sqref="B2"/>
    </sheetView>
  </sheetViews>
  <sheetFormatPr defaultRowHeight="15" x14ac:dyDescent="0.25"/>
  <cols>
    <col min="3" max="3" width="24.85546875" customWidth="1"/>
    <col min="4" max="5" width="10.5703125" bestFit="1" customWidth="1"/>
    <col min="6" max="7" width="9.28515625" bestFit="1" customWidth="1"/>
    <col min="8" max="8" width="11" customWidth="1"/>
    <col min="9" max="15" width="9.28515625" bestFit="1" customWidth="1"/>
  </cols>
  <sheetData>
    <row r="2" spans="2:15" x14ac:dyDescent="0.25">
      <c r="B2" s="878" t="s">
        <v>654</v>
      </c>
    </row>
    <row r="3" spans="2:15" ht="15.75" x14ac:dyDescent="0.25">
      <c r="B3" s="170"/>
      <c r="C3" s="171"/>
      <c r="D3" s="171"/>
      <c r="E3" s="171"/>
      <c r="F3" s="171"/>
      <c r="G3" s="171"/>
      <c r="H3" s="171"/>
      <c r="I3" s="171"/>
      <c r="J3" s="879"/>
      <c r="K3" s="171"/>
      <c r="L3" s="171"/>
      <c r="M3" s="171"/>
      <c r="N3" s="171"/>
      <c r="O3" s="171"/>
    </row>
    <row r="4" spans="2:15" ht="15.75" x14ac:dyDescent="0.25">
      <c r="B4" s="170"/>
      <c r="C4" s="826"/>
      <c r="D4" s="826"/>
      <c r="E4" s="826"/>
      <c r="F4" s="826"/>
      <c r="G4" s="826"/>
      <c r="H4" s="826"/>
      <c r="I4" s="826"/>
      <c r="J4" s="826"/>
      <c r="K4" s="826"/>
      <c r="L4" s="826"/>
      <c r="M4" s="826"/>
      <c r="N4" s="826"/>
      <c r="O4" s="826"/>
    </row>
    <row r="5" spans="2:15" ht="15.75" x14ac:dyDescent="0.25">
      <c r="B5" s="549"/>
      <c r="C5" s="549"/>
      <c r="D5" s="571" t="s">
        <v>105</v>
      </c>
      <c r="E5" s="571" t="s">
        <v>104</v>
      </c>
      <c r="F5" s="571" t="s">
        <v>99</v>
      </c>
      <c r="G5" s="571" t="s">
        <v>98</v>
      </c>
      <c r="H5" s="571" t="s">
        <v>97</v>
      </c>
      <c r="I5" s="571" t="s">
        <v>113</v>
      </c>
      <c r="J5" s="571" t="s">
        <v>114</v>
      </c>
      <c r="K5" s="571" t="s">
        <v>169</v>
      </c>
      <c r="L5" s="571" t="s">
        <v>328</v>
      </c>
      <c r="M5" s="571" t="s">
        <v>329</v>
      </c>
      <c r="N5" s="571" t="s">
        <v>330</v>
      </c>
      <c r="O5" s="571" t="s">
        <v>331</v>
      </c>
    </row>
    <row r="6" spans="2:15" ht="15.75" x14ac:dyDescent="0.25">
      <c r="B6" s="549"/>
      <c r="C6" s="549"/>
      <c r="D6" s="1035" t="s">
        <v>577</v>
      </c>
      <c r="E6" s="1036"/>
      <c r="F6" s="1036"/>
      <c r="G6" s="1036"/>
      <c r="H6" s="1036"/>
      <c r="I6" s="1036"/>
      <c r="J6" s="1036"/>
      <c r="K6" s="1036"/>
      <c r="L6" s="1036"/>
      <c r="M6" s="1036"/>
      <c r="N6" s="1036"/>
      <c r="O6" s="1037"/>
    </row>
    <row r="7" spans="2:15" ht="15.75" x14ac:dyDescent="0.25">
      <c r="B7" s="549"/>
      <c r="C7" s="549"/>
      <c r="D7" s="1038" t="s">
        <v>581</v>
      </c>
      <c r="E7" s="1039"/>
      <c r="F7" s="1040"/>
      <c r="G7" s="1038" t="s">
        <v>489</v>
      </c>
      <c r="H7" s="1039"/>
      <c r="I7" s="1039"/>
      <c r="J7" s="1039"/>
      <c r="K7" s="1039"/>
      <c r="L7" s="1039"/>
      <c r="M7" s="1039"/>
      <c r="N7" s="1039"/>
      <c r="O7" s="1040"/>
    </row>
    <row r="8" spans="2:15" x14ac:dyDescent="0.25">
      <c r="B8" s="1041"/>
      <c r="C8" s="1042"/>
      <c r="D8" s="1043"/>
      <c r="E8" s="1029" t="s">
        <v>1265</v>
      </c>
      <c r="F8" s="1029" t="s">
        <v>655</v>
      </c>
      <c r="G8" s="1031"/>
      <c r="H8" s="1029" t="s">
        <v>656</v>
      </c>
      <c r="I8" s="1029" t="s">
        <v>657</v>
      </c>
      <c r="J8" s="1029" t="s">
        <v>658</v>
      </c>
      <c r="K8" s="1029" t="s">
        <v>659</v>
      </c>
      <c r="L8" s="1029" t="s">
        <v>660</v>
      </c>
      <c r="M8" s="1029" t="s">
        <v>661</v>
      </c>
      <c r="N8" s="1029" t="s">
        <v>662</v>
      </c>
      <c r="O8" s="1029" t="s">
        <v>1263</v>
      </c>
    </row>
    <row r="9" spans="2:15" x14ac:dyDescent="0.25">
      <c r="B9" s="1041"/>
      <c r="C9" s="1042"/>
      <c r="D9" s="1043"/>
      <c r="E9" s="1030"/>
      <c r="F9" s="1030"/>
      <c r="G9" s="1031"/>
      <c r="H9" s="1030"/>
      <c r="I9" s="1030"/>
      <c r="J9" s="1030"/>
      <c r="K9" s="1030"/>
      <c r="L9" s="1030"/>
      <c r="M9" s="1030"/>
      <c r="N9" s="1030"/>
      <c r="O9" s="1030"/>
    </row>
    <row r="10" spans="2:15" ht="66" customHeight="1" x14ac:dyDescent="0.25">
      <c r="B10" s="447" t="s">
        <v>1431</v>
      </c>
      <c r="C10" s="549"/>
      <c r="D10" s="602"/>
      <c r="E10" s="1034"/>
      <c r="F10" s="1034"/>
      <c r="G10" s="1031"/>
      <c r="H10" s="1034"/>
      <c r="I10" s="1034"/>
      <c r="J10" s="1034"/>
      <c r="K10" s="1034"/>
      <c r="L10" s="1034"/>
      <c r="M10" s="1034"/>
      <c r="N10" s="1034"/>
      <c r="O10" s="1034"/>
    </row>
    <row r="11" spans="2:15" ht="45" x14ac:dyDescent="0.25">
      <c r="B11" s="590" t="s">
        <v>587</v>
      </c>
      <c r="C11" s="591" t="s">
        <v>588</v>
      </c>
      <c r="D11" s="592">
        <f>1318626734/1000</f>
        <v>1318626.7339999999</v>
      </c>
      <c r="E11" s="592">
        <f>1318626734/1000</f>
        <v>1318626.7339999999</v>
      </c>
      <c r="F11" s="592">
        <v>0</v>
      </c>
      <c r="G11" s="592">
        <v>0</v>
      </c>
      <c r="H11" s="592">
        <v>0</v>
      </c>
      <c r="I11" s="592">
        <v>0</v>
      </c>
      <c r="J11" s="592">
        <v>0</v>
      </c>
      <c r="K11" s="592">
        <v>0</v>
      </c>
      <c r="L11" s="592">
        <v>0</v>
      </c>
      <c r="M11" s="592">
        <v>0</v>
      </c>
      <c r="N11" s="592">
        <v>0</v>
      </c>
      <c r="O11" s="592">
        <v>0</v>
      </c>
    </row>
    <row r="12" spans="2:15" x14ac:dyDescent="0.25">
      <c r="B12" s="590" t="s">
        <v>348</v>
      </c>
      <c r="C12" s="591" t="s">
        <v>589</v>
      </c>
      <c r="D12" s="592">
        <f>3297795811/1000</f>
        <v>3297795.8110000002</v>
      </c>
      <c r="E12" s="592">
        <f>3290435196/1000</f>
        <v>3290435.196</v>
      </c>
      <c r="F12" s="592">
        <f>7360615/1000</f>
        <v>7360.6149999999998</v>
      </c>
      <c r="G12" s="593">
        <f>234293000/1000</f>
        <v>234293</v>
      </c>
      <c r="H12" s="592">
        <f>231806890/1000</f>
        <v>231806.89</v>
      </c>
      <c r="I12" s="592">
        <f>1539447/1000</f>
        <v>1539.4469999999999</v>
      </c>
      <c r="J12" s="592">
        <f>528240/1000</f>
        <v>528.24</v>
      </c>
      <c r="K12" s="592">
        <f>301873/1000</f>
        <v>301.87299999999999</v>
      </c>
      <c r="L12" s="592">
        <f>109100/1000</f>
        <v>109.1</v>
      </c>
      <c r="M12" s="592">
        <v>0</v>
      </c>
      <c r="N12" s="592">
        <v>7.452</v>
      </c>
      <c r="O12" s="592">
        <f>234293000/1000</f>
        <v>234293</v>
      </c>
    </row>
    <row r="13" spans="2:15" x14ac:dyDescent="0.25">
      <c r="B13" s="594" t="s">
        <v>354</v>
      </c>
      <c r="C13" s="595" t="s">
        <v>590</v>
      </c>
      <c r="D13" s="592">
        <v>0</v>
      </c>
      <c r="E13" s="592">
        <v>0</v>
      </c>
      <c r="F13" s="592">
        <v>0</v>
      </c>
      <c r="G13" s="596">
        <v>0</v>
      </c>
      <c r="H13" s="592">
        <v>0</v>
      </c>
      <c r="I13" s="592">
        <v>0</v>
      </c>
      <c r="J13" s="592">
        <v>0</v>
      </c>
      <c r="K13" s="592">
        <v>0</v>
      </c>
      <c r="L13" s="592">
        <v>0</v>
      </c>
      <c r="M13" s="592">
        <v>0</v>
      </c>
      <c r="N13" s="592">
        <v>0</v>
      </c>
      <c r="O13" s="592">
        <v>0</v>
      </c>
    </row>
    <row r="14" spans="2:15" x14ac:dyDescent="0.25">
      <c r="B14" s="594" t="s">
        <v>591</v>
      </c>
      <c r="C14" s="595" t="s">
        <v>592</v>
      </c>
      <c r="D14" s="592">
        <v>0.79900000000000004</v>
      </c>
      <c r="E14" s="592">
        <v>0.79900000000000004</v>
      </c>
      <c r="F14" s="592">
        <v>0</v>
      </c>
      <c r="G14" s="596">
        <v>0</v>
      </c>
      <c r="H14" s="592">
        <v>0</v>
      </c>
      <c r="I14" s="592">
        <v>0</v>
      </c>
      <c r="J14" s="592">
        <v>0</v>
      </c>
      <c r="K14" s="592">
        <v>0</v>
      </c>
      <c r="L14" s="592">
        <v>0</v>
      </c>
      <c r="M14" s="592">
        <v>0</v>
      </c>
      <c r="N14" s="592">
        <v>0</v>
      </c>
      <c r="O14" s="592">
        <v>0</v>
      </c>
    </row>
    <row r="15" spans="2:15" x14ac:dyDescent="0.25">
      <c r="B15" s="594" t="s">
        <v>593</v>
      </c>
      <c r="C15" s="595" t="s">
        <v>594</v>
      </c>
      <c r="D15" s="592">
        <v>0</v>
      </c>
      <c r="E15" s="592">
        <v>0</v>
      </c>
      <c r="F15" s="592">
        <v>0</v>
      </c>
      <c r="G15" s="596">
        <v>0</v>
      </c>
      <c r="H15" s="592">
        <v>0</v>
      </c>
      <c r="I15" s="592">
        <v>0</v>
      </c>
      <c r="J15" s="592">
        <v>0</v>
      </c>
      <c r="K15" s="592">
        <v>0</v>
      </c>
      <c r="L15" s="592">
        <v>0</v>
      </c>
      <c r="M15" s="592">
        <v>0</v>
      </c>
      <c r="N15" s="592">
        <v>0</v>
      </c>
      <c r="O15" s="592">
        <v>0</v>
      </c>
    </row>
    <row r="16" spans="2:15" x14ac:dyDescent="0.25">
      <c r="B16" s="594" t="s">
        <v>595</v>
      </c>
      <c r="C16" s="595" t="s">
        <v>596</v>
      </c>
      <c r="D16" s="592">
        <f>689467288/1000</f>
        <v>689467.28799999994</v>
      </c>
      <c r="E16" s="592">
        <f>688177520/1000</f>
        <v>688177.52</v>
      </c>
      <c r="F16" s="592">
        <f>1289769/1000</f>
        <v>1289.769</v>
      </c>
      <c r="G16" s="596">
        <f>19133381/1000</f>
        <v>19133.381000000001</v>
      </c>
      <c r="H16" s="592">
        <f>19125930/1000</f>
        <v>19125.93</v>
      </c>
      <c r="I16" s="592">
        <v>0</v>
      </c>
      <c r="J16" s="592">
        <v>0</v>
      </c>
      <c r="K16" s="592">
        <v>0</v>
      </c>
      <c r="L16" s="592">
        <v>0</v>
      </c>
      <c r="M16" s="592">
        <v>0</v>
      </c>
      <c r="N16" s="592">
        <v>7.452</v>
      </c>
      <c r="O16" s="592">
        <f>19133381/1000</f>
        <v>19133.381000000001</v>
      </c>
    </row>
    <row r="17" spans="2:15" x14ac:dyDescent="0.25">
      <c r="B17" s="594" t="s">
        <v>597</v>
      </c>
      <c r="C17" s="595" t="s">
        <v>598</v>
      </c>
      <c r="D17" s="592">
        <f>1226159412/1000</f>
        <v>1226159.412</v>
      </c>
      <c r="E17" s="592">
        <f>1225204293/1000</f>
        <v>1225204.2930000001</v>
      </c>
      <c r="F17" s="592">
        <f>955119/1000</f>
        <v>955.11900000000003</v>
      </c>
      <c r="G17" s="596">
        <f>73989499/1000</f>
        <v>73989.498999999996</v>
      </c>
      <c r="H17" s="592">
        <f>72906976/1000</f>
        <v>72906.975999999995</v>
      </c>
      <c r="I17" s="592">
        <f>1075618/1000</f>
        <v>1075.6179999999999</v>
      </c>
      <c r="J17" s="592">
        <v>0</v>
      </c>
      <c r="K17" s="592">
        <v>0</v>
      </c>
      <c r="L17" s="592">
        <v>6.9050000000000002</v>
      </c>
      <c r="M17" s="592">
        <v>0</v>
      </c>
      <c r="N17" s="592">
        <v>0</v>
      </c>
      <c r="O17" s="592">
        <f>73989499/1000</f>
        <v>73989.498999999996</v>
      </c>
    </row>
    <row r="18" spans="2:15" ht="45" x14ac:dyDescent="0.25">
      <c r="B18" s="594" t="s">
        <v>599</v>
      </c>
      <c r="C18" s="595" t="s">
        <v>663</v>
      </c>
      <c r="D18" s="592">
        <f>1226159412/1000</f>
        <v>1226159.412</v>
      </c>
      <c r="E18" s="592">
        <f>1225204293/1000</f>
        <v>1225204.2930000001</v>
      </c>
      <c r="F18" s="592">
        <f>955119/1000</f>
        <v>955.11900000000003</v>
      </c>
      <c r="G18" s="596">
        <f>73989499/1000</f>
        <v>73989.498999999996</v>
      </c>
      <c r="H18" s="592">
        <f>72906976/1000</f>
        <v>72906.975999999995</v>
      </c>
      <c r="I18" s="592">
        <f>1075618/1000</f>
        <v>1075.6179999999999</v>
      </c>
      <c r="J18" s="592">
        <v>0</v>
      </c>
      <c r="K18" s="592">
        <v>0</v>
      </c>
      <c r="L18" s="592">
        <v>6.9050000000000002</v>
      </c>
      <c r="M18" s="592">
        <v>0</v>
      </c>
      <c r="N18" s="592">
        <v>0</v>
      </c>
      <c r="O18" s="592">
        <f>73989499/1000</f>
        <v>73989.498999999996</v>
      </c>
    </row>
    <row r="19" spans="2:15" x14ac:dyDescent="0.25">
      <c r="B19" s="594" t="s">
        <v>601</v>
      </c>
      <c r="C19" s="595" t="s">
        <v>602</v>
      </c>
      <c r="D19" s="592">
        <f>1382168312/1000</f>
        <v>1382168.3119999999</v>
      </c>
      <c r="E19" s="592">
        <f>1377052585/1000</f>
        <v>1377052.585</v>
      </c>
      <c r="F19" s="592">
        <f>5115727/1000</f>
        <v>5115.7269999999999</v>
      </c>
      <c r="G19" s="596">
        <f>141170119/1000</f>
        <v>141170.11900000001</v>
      </c>
      <c r="H19" s="592">
        <f>139773984/1000</f>
        <v>139773.984</v>
      </c>
      <c r="I19" s="592">
        <f>463828/1000</f>
        <v>463.82799999999997</v>
      </c>
      <c r="J19" s="592">
        <f>528240/1000</f>
        <v>528.24</v>
      </c>
      <c r="K19" s="592">
        <f>301873/1000</f>
        <v>301.87299999999999</v>
      </c>
      <c r="L19" s="592">
        <f>102195/1000</f>
        <v>102.19499999999999</v>
      </c>
      <c r="M19" s="592">
        <v>0</v>
      </c>
      <c r="N19" s="592">
        <v>0</v>
      </c>
      <c r="O19" s="592">
        <f>141170119/1000</f>
        <v>141170.11900000001</v>
      </c>
    </row>
    <row r="20" spans="2:15" x14ac:dyDescent="0.25">
      <c r="B20" s="590" t="s">
        <v>603</v>
      </c>
      <c r="C20" s="591" t="s">
        <v>604</v>
      </c>
      <c r="D20" s="592">
        <v>0</v>
      </c>
      <c r="E20" s="592">
        <v>0</v>
      </c>
      <c r="F20" s="592">
        <v>0</v>
      </c>
      <c r="G20" s="593">
        <v>0</v>
      </c>
      <c r="H20" s="592">
        <v>0</v>
      </c>
      <c r="I20" s="592">
        <v>0</v>
      </c>
      <c r="J20" s="592">
        <v>0</v>
      </c>
      <c r="K20" s="592">
        <v>0</v>
      </c>
      <c r="L20" s="592">
        <v>0</v>
      </c>
      <c r="M20" s="592">
        <v>0</v>
      </c>
      <c r="N20" s="592">
        <v>0</v>
      </c>
      <c r="O20" s="592">
        <v>0</v>
      </c>
    </row>
    <row r="21" spans="2:15" x14ac:dyDescent="0.25">
      <c r="B21" s="594" t="s">
        <v>605</v>
      </c>
      <c r="C21" s="595" t="s">
        <v>590</v>
      </c>
      <c r="D21" s="592">
        <v>0</v>
      </c>
      <c r="E21" s="592">
        <v>0</v>
      </c>
      <c r="F21" s="592">
        <v>0</v>
      </c>
      <c r="G21" s="596">
        <v>0</v>
      </c>
      <c r="H21" s="592">
        <v>0</v>
      </c>
      <c r="I21" s="592">
        <v>0</v>
      </c>
      <c r="J21" s="592">
        <v>0</v>
      </c>
      <c r="K21" s="592">
        <v>0</v>
      </c>
      <c r="L21" s="592">
        <v>0</v>
      </c>
      <c r="M21" s="592">
        <v>0</v>
      </c>
      <c r="N21" s="592">
        <v>0</v>
      </c>
      <c r="O21" s="592">
        <v>0</v>
      </c>
    </row>
    <row r="22" spans="2:15" x14ac:dyDescent="0.25">
      <c r="B22" s="594" t="s">
        <v>606</v>
      </c>
      <c r="C22" s="595" t="s">
        <v>592</v>
      </c>
      <c r="D22" s="592">
        <v>0</v>
      </c>
      <c r="E22" s="592">
        <v>0</v>
      </c>
      <c r="F22" s="592">
        <v>0</v>
      </c>
      <c r="G22" s="596">
        <v>0</v>
      </c>
      <c r="H22" s="592">
        <v>0</v>
      </c>
      <c r="I22" s="592">
        <v>0</v>
      </c>
      <c r="J22" s="592">
        <v>0</v>
      </c>
      <c r="K22" s="592">
        <v>0</v>
      </c>
      <c r="L22" s="592">
        <v>0</v>
      </c>
      <c r="M22" s="592">
        <v>0</v>
      </c>
      <c r="N22" s="592">
        <v>0</v>
      </c>
      <c r="O22" s="592">
        <v>0</v>
      </c>
    </row>
    <row r="23" spans="2:15" x14ac:dyDescent="0.25">
      <c r="B23" s="594" t="s">
        <v>607</v>
      </c>
      <c r="C23" s="595" t="s">
        <v>594</v>
      </c>
      <c r="D23" s="592">
        <v>0</v>
      </c>
      <c r="E23" s="592">
        <v>0</v>
      </c>
      <c r="F23" s="592">
        <v>0</v>
      </c>
      <c r="G23" s="596">
        <v>0</v>
      </c>
      <c r="H23" s="592">
        <v>0</v>
      </c>
      <c r="I23" s="592">
        <v>0</v>
      </c>
      <c r="J23" s="592">
        <v>0</v>
      </c>
      <c r="K23" s="592">
        <v>0</v>
      </c>
      <c r="L23" s="592">
        <v>0</v>
      </c>
      <c r="M23" s="592">
        <v>0</v>
      </c>
      <c r="N23" s="592">
        <v>0</v>
      </c>
      <c r="O23" s="592">
        <v>0</v>
      </c>
    </row>
    <row r="24" spans="2:15" x14ac:dyDescent="0.25">
      <c r="B24" s="594" t="s">
        <v>608</v>
      </c>
      <c r="C24" s="595" t="s">
        <v>596</v>
      </c>
      <c r="D24" s="592">
        <v>0</v>
      </c>
      <c r="E24" s="592">
        <v>0</v>
      </c>
      <c r="F24" s="592">
        <v>0</v>
      </c>
      <c r="G24" s="596">
        <v>0</v>
      </c>
      <c r="H24" s="592">
        <v>0</v>
      </c>
      <c r="I24" s="592">
        <v>0</v>
      </c>
      <c r="J24" s="592">
        <v>0</v>
      </c>
      <c r="K24" s="592">
        <v>0</v>
      </c>
      <c r="L24" s="592">
        <v>0</v>
      </c>
      <c r="M24" s="592">
        <v>0</v>
      </c>
      <c r="N24" s="592">
        <v>0</v>
      </c>
      <c r="O24" s="592">
        <v>0</v>
      </c>
    </row>
    <row r="25" spans="2:15" x14ac:dyDescent="0.25">
      <c r="B25" s="594" t="s">
        <v>609</v>
      </c>
      <c r="C25" s="595" t="s">
        <v>598</v>
      </c>
      <c r="D25" s="592">
        <v>0</v>
      </c>
      <c r="E25" s="592">
        <v>0</v>
      </c>
      <c r="F25" s="592">
        <v>0</v>
      </c>
      <c r="G25" s="596">
        <v>0</v>
      </c>
      <c r="H25" s="592">
        <v>0</v>
      </c>
      <c r="I25" s="592">
        <v>0</v>
      </c>
      <c r="J25" s="592">
        <v>0</v>
      </c>
      <c r="K25" s="592">
        <v>0</v>
      </c>
      <c r="L25" s="592">
        <v>0</v>
      </c>
      <c r="M25" s="592">
        <v>0</v>
      </c>
      <c r="N25" s="592">
        <v>0</v>
      </c>
      <c r="O25" s="592">
        <v>0</v>
      </c>
    </row>
    <row r="26" spans="2:15" ht="30" x14ac:dyDescent="0.25">
      <c r="B26" s="590" t="s">
        <v>610</v>
      </c>
      <c r="C26" s="591" t="s">
        <v>420</v>
      </c>
      <c r="D26" s="592">
        <f>3817712858/1000</f>
        <v>3817712.858</v>
      </c>
      <c r="E26" s="597"/>
      <c r="F26" s="597"/>
      <c r="G26" s="598">
        <f>45009767/1000</f>
        <v>45009.767</v>
      </c>
      <c r="H26" s="597"/>
      <c r="I26" s="597"/>
      <c r="J26" s="597"/>
      <c r="K26" s="597"/>
      <c r="L26" s="597"/>
      <c r="M26" s="597"/>
      <c r="N26" s="597"/>
      <c r="O26" s="598">
        <v>0</v>
      </c>
    </row>
    <row r="27" spans="2:15" x14ac:dyDescent="0.25">
      <c r="B27" s="594" t="s">
        <v>611</v>
      </c>
      <c r="C27" s="595" t="s">
        <v>590</v>
      </c>
      <c r="D27" s="598">
        <v>0</v>
      </c>
      <c r="E27" s="597"/>
      <c r="F27" s="597"/>
      <c r="G27" s="598">
        <v>0</v>
      </c>
      <c r="H27" s="597"/>
      <c r="I27" s="597"/>
      <c r="J27" s="597"/>
      <c r="K27" s="597"/>
      <c r="L27" s="597"/>
      <c r="M27" s="597"/>
      <c r="N27" s="597"/>
      <c r="O27" s="598">
        <v>0</v>
      </c>
    </row>
    <row r="28" spans="2:15" x14ac:dyDescent="0.25">
      <c r="B28" s="594" t="s">
        <v>612</v>
      </c>
      <c r="C28" s="595" t="s">
        <v>592</v>
      </c>
      <c r="D28" s="598">
        <f>(2779202+2060585)/1000</f>
        <v>4839.7870000000003</v>
      </c>
      <c r="E28" s="597"/>
      <c r="F28" s="597"/>
      <c r="G28" s="598">
        <v>0</v>
      </c>
      <c r="H28" s="597"/>
      <c r="I28" s="597"/>
      <c r="J28" s="597"/>
      <c r="K28" s="597"/>
      <c r="L28" s="597"/>
      <c r="M28" s="597"/>
      <c r="N28" s="597"/>
      <c r="O28" s="598">
        <v>0</v>
      </c>
    </row>
    <row r="29" spans="2:15" x14ac:dyDescent="0.25">
      <c r="B29" s="594" t="s">
        <v>613</v>
      </c>
      <c r="C29" s="595" t="s">
        <v>594</v>
      </c>
      <c r="D29" s="598">
        <f>(28064489+41224281)/1000</f>
        <v>69288.77</v>
      </c>
      <c r="E29" s="597"/>
      <c r="F29" s="597"/>
      <c r="G29" s="598">
        <v>0</v>
      </c>
      <c r="H29" s="597"/>
      <c r="I29" s="597"/>
      <c r="J29" s="597"/>
      <c r="K29" s="597"/>
      <c r="L29" s="597"/>
      <c r="M29" s="597"/>
      <c r="N29" s="597"/>
      <c r="O29" s="598">
        <v>0</v>
      </c>
    </row>
    <row r="30" spans="2:15" x14ac:dyDescent="0.25">
      <c r="B30" s="594" t="s">
        <v>614</v>
      </c>
      <c r="C30" s="595" t="s">
        <v>596</v>
      </c>
      <c r="D30" s="598">
        <f>(130243267+7104507)/1000</f>
        <v>137347.774</v>
      </c>
      <c r="E30" s="597"/>
      <c r="F30" s="597"/>
      <c r="G30" s="598">
        <v>30</v>
      </c>
      <c r="H30" s="597"/>
      <c r="I30" s="597"/>
      <c r="J30" s="597"/>
      <c r="K30" s="597"/>
      <c r="L30" s="597"/>
      <c r="M30" s="597"/>
      <c r="N30" s="597"/>
      <c r="O30" s="598">
        <v>0</v>
      </c>
    </row>
    <row r="31" spans="2:15" x14ac:dyDescent="0.25">
      <c r="B31" s="594" t="s">
        <v>615</v>
      </c>
      <c r="C31" s="595" t="s">
        <v>598</v>
      </c>
      <c r="D31" s="598">
        <f>(1378965418+305160051)/1000</f>
        <v>1684125.469</v>
      </c>
      <c r="E31" s="597"/>
      <c r="F31" s="597"/>
      <c r="G31" s="598">
        <f>(8327717+4207971)/1000</f>
        <v>12535.688</v>
      </c>
      <c r="H31" s="597"/>
      <c r="I31" s="597"/>
      <c r="J31" s="597"/>
      <c r="K31" s="597"/>
      <c r="L31" s="597"/>
      <c r="M31" s="597"/>
      <c r="N31" s="597"/>
      <c r="O31" s="598">
        <v>0</v>
      </c>
    </row>
    <row r="32" spans="2:15" x14ac:dyDescent="0.25">
      <c r="B32" s="594" t="s">
        <v>616</v>
      </c>
      <c r="C32" s="595" t="s">
        <v>602</v>
      </c>
      <c r="D32" s="598">
        <f>(945993481+976117577)/1000</f>
        <v>1922111.058</v>
      </c>
      <c r="E32" s="597"/>
      <c r="F32" s="597"/>
      <c r="G32" s="598">
        <f>(5023050+27421029)/1000</f>
        <v>32444.079000000002</v>
      </c>
      <c r="H32" s="597"/>
      <c r="I32" s="597"/>
      <c r="J32" s="597"/>
      <c r="K32" s="597"/>
      <c r="L32" s="597"/>
      <c r="M32" s="597"/>
      <c r="N32" s="597"/>
      <c r="O32" s="598">
        <v>0</v>
      </c>
    </row>
    <row r="33" spans="2:15" x14ac:dyDescent="0.25">
      <c r="B33" s="599" t="s">
        <v>617</v>
      </c>
      <c r="C33" s="600" t="s">
        <v>0</v>
      </c>
      <c r="D33" s="601">
        <f>+D11+D12+D20+D26</f>
        <v>8434135.4030000009</v>
      </c>
      <c r="E33" s="601">
        <f t="shared" ref="E33:O33" si="0">+E11+E12+E20+E26</f>
        <v>4609061.93</v>
      </c>
      <c r="F33" s="601">
        <f t="shared" si="0"/>
        <v>7360.6149999999998</v>
      </c>
      <c r="G33" s="601">
        <f>+G11+G12+G20+G26</f>
        <v>279302.76699999999</v>
      </c>
      <c r="H33" s="601">
        <f t="shared" si="0"/>
        <v>231806.89</v>
      </c>
      <c r="I33" s="601">
        <f t="shared" si="0"/>
        <v>1539.4469999999999</v>
      </c>
      <c r="J33" s="601">
        <f t="shared" si="0"/>
        <v>528.24</v>
      </c>
      <c r="K33" s="601">
        <f t="shared" si="0"/>
        <v>301.87299999999999</v>
      </c>
      <c r="L33" s="601">
        <f t="shared" si="0"/>
        <v>109.1</v>
      </c>
      <c r="M33" s="601">
        <f t="shared" si="0"/>
        <v>0</v>
      </c>
      <c r="N33" s="601">
        <f t="shared" si="0"/>
        <v>7.452</v>
      </c>
      <c r="O33" s="601">
        <f t="shared" si="0"/>
        <v>234293</v>
      </c>
    </row>
  </sheetData>
  <mergeCells count="17">
    <mergeCell ref="B8:B9"/>
    <mergeCell ref="C8:C9"/>
    <mergeCell ref="D8:D9"/>
    <mergeCell ref="E8:E10"/>
    <mergeCell ref="F8:F10"/>
    <mergeCell ref="M8:M10"/>
    <mergeCell ref="N8:N10"/>
    <mergeCell ref="D6:O6"/>
    <mergeCell ref="D7:F7"/>
    <mergeCell ref="G7:O7"/>
    <mergeCell ref="G8:G10"/>
    <mergeCell ref="H8:H10"/>
    <mergeCell ref="O8:O10"/>
    <mergeCell ref="I8:I10"/>
    <mergeCell ref="J8:J10"/>
    <mergeCell ref="K8:K10"/>
    <mergeCell ref="L8:L10"/>
  </mergeCells>
  <hyperlinks>
    <hyperlink ref="B2" location="Indhold!B27" display="Skema EU CQ3: Kreditkvalitet af ikkemisligholdte og misligholdte eksponeringer efter forfaldsdage" xr:uid="{904E1004-16D2-4239-8ED5-EBDFC4F1ED6C}"/>
  </hyperlinks>
  <pageMargins left="0.70866141732283472" right="0.70866141732283472" top="0.74803149606299213" bottom="0.74803149606299213" header="0.31496062992125984" footer="0.31496062992125984"/>
  <pageSetup paperSize="9" scale="89" fitToHeight="0" orientation="landscape" r:id="rId1"/>
  <headerFooter>
    <oddHeader>&amp;CDA
Bilag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C2D9B-53C1-4A20-B450-3A738841AEF5}">
  <sheetPr>
    <pageSetUpPr fitToPage="1"/>
  </sheetPr>
  <dimension ref="B2:I29"/>
  <sheetViews>
    <sheetView showGridLines="0" zoomScaleNormal="100" workbookViewId="0">
      <selection activeCell="B2" sqref="B2"/>
    </sheetView>
  </sheetViews>
  <sheetFormatPr defaultRowHeight="15" x14ac:dyDescent="0.25"/>
  <cols>
    <col min="2" max="2" width="4.7109375" customWidth="1"/>
    <col min="3" max="3" width="25" customWidth="1"/>
    <col min="4" max="4" width="10.5703125" bestFit="1" customWidth="1"/>
    <col min="7" max="7" width="13" customWidth="1"/>
    <col min="8" max="8" width="12.42578125" customWidth="1"/>
    <col min="9" max="9" width="20.28515625" customWidth="1"/>
  </cols>
  <sheetData>
    <row r="2" spans="2:9" x14ac:dyDescent="0.25">
      <c r="B2" s="878" t="s">
        <v>675</v>
      </c>
    </row>
    <row r="3" spans="2:9" ht="15.75" x14ac:dyDescent="0.25">
      <c r="B3" s="170"/>
      <c r="C3" s="171"/>
      <c r="D3" s="171"/>
      <c r="E3" s="1044"/>
      <c r="F3" s="1044"/>
      <c r="G3" s="171"/>
      <c r="H3" s="879"/>
      <c r="I3" s="171"/>
    </row>
    <row r="4" spans="2:9" ht="15.75" x14ac:dyDescent="0.25">
      <c r="B4" s="170"/>
      <c r="C4" s="826"/>
      <c r="D4" s="826"/>
      <c r="E4" s="825"/>
      <c r="F4" s="825"/>
      <c r="G4" s="826"/>
      <c r="H4" s="826"/>
      <c r="I4" s="826"/>
    </row>
    <row r="5" spans="2:9" ht="15.75" x14ac:dyDescent="0.25">
      <c r="B5" s="549"/>
      <c r="C5" s="603"/>
      <c r="D5" s="605" t="s">
        <v>105</v>
      </c>
      <c r="E5" s="573" t="s">
        <v>104</v>
      </c>
      <c r="F5" s="573" t="s">
        <v>99</v>
      </c>
      <c r="G5" s="573" t="s">
        <v>98</v>
      </c>
      <c r="H5" s="573" t="s">
        <v>97</v>
      </c>
      <c r="I5" s="573" t="s">
        <v>113</v>
      </c>
    </row>
    <row r="6" spans="2:9" ht="19.5" customHeight="1" x14ac:dyDescent="0.25">
      <c r="B6" s="549"/>
      <c r="C6" s="603"/>
      <c r="D6" s="1045" t="s">
        <v>676</v>
      </c>
      <c r="E6" s="1045"/>
      <c r="F6" s="1045"/>
      <c r="G6" s="1045"/>
      <c r="H6" s="1046" t="s">
        <v>1267</v>
      </c>
      <c r="I6" s="1046" t="s">
        <v>666</v>
      </c>
    </row>
    <row r="7" spans="2:9" ht="49.5" customHeight="1" x14ac:dyDescent="0.25">
      <c r="B7" s="606"/>
      <c r="C7" s="607"/>
      <c r="D7" s="608"/>
      <c r="E7" s="1049" t="s">
        <v>667</v>
      </c>
      <c r="F7" s="1050"/>
      <c r="G7" s="609" t="s">
        <v>677</v>
      </c>
      <c r="H7" s="1047"/>
      <c r="I7" s="1047"/>
    </row>
    <row r="8" spans="2:9" ht="15.75" x14ac:dyDescent="0.25">
      <c r="B8" s="447" t="s">
        <v>1431</v>
      </c>
      <c r="C8" s="603"/>
      <c r="D8" s="610"/>
      <c r="E8" s="1051"/>
      <c r="F8" s="1046" t="s">
        <v>1263</v>
      </c>
      <c r="G8" s="1053"/>
      <c r="H8" s="1047"/>
      <c r="I8" s="1047"/>
    </row>
    <row r="9" spans="2:9" ht="16.5" thickBot="1" x14ac:dyDescent="0.3">
      <c r="B9" s="549"/>
      <c r="C9" s="604"/>
      <c r="D9" s="611"/>
      <c r="E9" s="1052"/>
      <c r="F9" s="1048"/>
      <c r="G9" s="1054"/>
      <c r="H9" s="1048"/>
      <c r="I9" s="1048"/>
    </row>
    <row r="10" spans="2:9" ht="30" x14ac:dyDescent="0.25">
      <c r="B10" s="612" t="s">
        <v>348</v>
      </c>
      <c r="C10" s="613" t="s">
        <v>678</v>
      </c>
      <c r="D10" s="614">
        <f>64223518/1000</f>
        <v>64223.517999999996</v>
      </c>
      <c r="E10" s="614">
        <f>31328319/1000</f>
        <v>31328.319</v>
      </c>
      <c r="F10" s="614">
        <f>31328319/1000</f>
        <v>31328.319</v>
      </c>
      <c r="G10" s="614">
        <f>64223518/1000</f>
        <v>64223.517999999996</v>
      </c>
      <c r="H10" s="614">
        <f>-1815722/1000</f>
        <v>-1815.722</v>
      </c>
      <c r="I10" s="614">
        <v>0</v>
      </c>
    </row>
    <row r="11" spans="2:9" x14ac:dyDescent="0.25">
      <c r="B11" s="615" t="s">
        <v>354</v>
      </c>
      <c r="C11" s="591" t="s">
        <v>679</v>
      </c>
      <c r="D11" s="593">
        <v>0</v>
      </c>
      <c r="E11" s="593">
        <v>0</v>
      </c>
      <c r="F11" s="593">
        <v>0</v>
      </c>
      <c r="G11" s="593">
        <v>0</v>
      </c>
      <c r="H11" s="593">
        <v>0</v>
      </c>
      <c r="I11" s="593">
        <v>0</v>
      </c>
    </row>
    <row r="12" spans="2:9" x14ac:dyDescent="0.25">
      <c r="B12" s="615" t="s">
        <v>591</v>
      </c>
      <c r="C12" s="591" t="s">
        <v>680</v>
      </c>
      <c r="D12" s="593">
        <f>79109229/1000</f>
        <v>79109.229000000007</v>
      </c>
      <c r="E12" s="593">
        <f>24989936/1000</f>
        <v>24989.936000000002</v>
      </c>
      <c r="F12" s="593">
        <f>24989936/1000</f>
        <v>24989.936000000002</v>
      </c>
      <c r="G12" s="593">
        <f>79109229/1000</f>
        <v>79109.229000000007</v>
      </c>
      <c r="H12" s="593">
        <f>-9340557/1000</f>
        <v>-9340.5570000000007</v>
      </c>
      <c r="I12" s="593">
        <v>0</v>
      </c>
    </row>
    <row r="13" spans="2:9" ht="30" x14ac:dyDescent="0.25">
      <c r="B13" s="615" t="s">
        <v>593</v>
      </c>
      <c r="C13" s="591" t="s">
        <v>681</v>
      </c>
      <c r="D13" s="593">
        <f>130520081/1000</f>
        <v>130520.08100000001</v>
      </c>
      <c r="E13" s="593">
        <v>0</v>
      </c>
      <c r="F13" s="593">
        <v>0</v>
      </c>
      <c r="G13" s="593">
        <f>130520081/1000</f>
        <v>130520.08100000001</v>
      </c>
      <c r="H13" s="593">
        <f>-1867103/1000</f>
        <v>-1867.1030000000001</v>
      </c>
      <c r="I13" s="593">
        <v>0</v>
      </c>
    </row>
    <row r="14" spans="2:9" x14ac:dyDescent="0.25">
      <c r="B14" s="615" t="s">
        <v>595</v>
      </c>
      <c r="C14" s="591" t="s">
        <v>682</v>
      </c>
      <c r="D14" s="593">
        <f>2734101/1000</f>
        <v>2734.1010000000001</v>
      </c>
      <c r="E14" s="593">
        <f>231420/1000</f>
        <v>231.42</v>
      </c>
      <c r="F14" s="593">
        <f>231420/1000</f>
        <v>231.42</v>
      </c>
      <c r="G14" s="593">
        <f>2734101/1000</f>
        <v>2734.1010000000001</v>
      </c>
      <c r="H14" s="593">
        <f>-247041/1000</f>
        <v>-247.041</v>
      </c>
      <c r="I14" s="593">
        <v>0</v>
      </c>
    </row>
    <row r="15" spans="2:9" ht="30" x14ac:dyDescent="0.25">
      <c r="B15" s="615" t="s">
        <v>597</v>
      </c>
      <c r="C15" s="591" t="s">
        <v>683</v>
      </c>
      <c r="D15" s="593">
        <f>99460951/1000</f>
        <v>99460.951000000001</v>
      </c>
      <c r="E15" s="593">
        <f>2293793/1000</f>
        <v>2293.7930000000001</v>
      </c>
      <c r="F15" s="593">
        <f>2293793/1000</f>
        <v>2293.7930000000001</v>
      </c>
      <c r="G15" s="593">
        <f>99460951/1000</f>
        <v>99460.951000000001</v>
      </c>
      <c r="H15" s="593">
        <f>-2035324/1000</f>
        <v>-2035.3240000000001</v>
      </c>
      <c r="I15" s="593">
        <v>0</v>
      </c>
    </row>
    <row r="16" spans="2:9" x14ac:dyDescent="0.25">
      <c r="B16" s="615" t="s">
        <v>599</v>
      </c>
      <c r="C16" s="591" t="s">
        <v>684</v>
      </c>
      <c r="D16" s="593">
        <f>242339552/1000</f>
        <v>242339.552</v>
      </c>
      <c r="E16" s="593">
        <v>0</v>
      </c>
      <c r="F16" s="593">
        <v>0</v>
      </c>
      <c r="G16" s="593">
        <f>242339552/1000</f>
        <v>242339.552</v>
      </c>
      <c r="H16" s="593">
        <f>-5403040/1000</f>
        <v>-5403.04</v>
      </c>
      <c r="I16" s="593">
        <v>0</v>
      </c>
    </row>
    <row r="17" spans="2:9" x14ac:dyDescent="0.25">
      <c r="B17" s="615" t="s">
        <v>601</v>
      </c>
      <c r="C17" s="591" t="s">
        <v>685</v>
      </c>
      <c r="D17" s="593">
        <f>174111960/1000</f>
        <v>174111.96</v>
      </c>
      <c r="E17" s="593">
        <v>0</v>
      </c>
      <c r="F17" s="593">
        <v>0</v>
      </c>
      <c r="G17" s="593">
        <f>174111960/1000</f>
        <v>174111.96</v>
      </c>
      <c r="H17" s="593">
        <f>-955575/1000</f>
        <v>-955.57500000000005</v>
      </c>
      <c r="I17" s="593">
        <v>0</v>
      </c>
    </row>
    <row r="18" spans="2:9" ht="30" x14ac:dyDescent="0.25">
      <c r="B18" s="616" t="s">
        <v>603</v>
      </c>
      <c r="C18" s="591" t="s">
        <v>686</v>
      </c>
      <c r="D18" s="593">
        <f>6536948/1000</f>
        <v>6536.9480000000003</v>
      </c>
      <c r="E18" s="593">
        <f>206382/1000</f>
        <v>206.38200000000001</v>
      </c>
      <c r="F18" s="593">
        <f>206382/1000</f>
        <v>206.38200000000001</v>
      </c>
      <c r="G18" s="593">
        <f>6536948/1000</f>
        <v>6536.9480000000003</v>
      </c>
      <c r="H18" s="593">
        <f>-326088/1000</f>
        <v>-326.08800000000002</v>
      </c>
      <c r="I18" s="593">
        <v>0</v>
      </c>
    </row>
    <row r="19" spans="2:9" ht="30" x14ac:dyDescent="0.25">
      <c r="B19" s="615" t="s">
        <v>605</v>
      </c>
      <c r="C19" s="591" t="s">
        <v>687</v>
      </c>
      <c r="D19" s="593">
        <f>19238181/1000</f>
        <v>19238.181</v>
      </c>
      <c r="E19" s="593">
        <f>187598/1000</f>
        <v>187.59800000000001</v>
      </c>
      <c r="F19" s="593">
        <f>187598/1000</f>
        <v>187.59800000000001</v>
      </c>
      <c r="G19" s="593">
        <f>19238181/1000</f>
        <v>19238.181</v>
      </c>
      <c r="H19" s="593">
        <f>-194101/1000</f>
        <v>-194.101</v>
      </c>
      <c r="I19" s="593">
        <v>0</v>
      </c>
    </row>
    <row r="20" spans="2:9" ht="45" x14ac:dyDescent="0.25">
      <c r="B20" s="615" t="s">
        <v>606</v>
      </c>
      <c r="C20" s="591" t="s">
        <v>688</v>
      </c>
      <c r="D20" s="593">
        <f>2284091/1000</f>
        <v>2284.0909999999999</v>
      </c>
      <c r="E20" s="618">
        <v>0</v>
      </c>
      <c r="F20" s="593">
        <v>0</v>
      </c>
      <c r="G20" s="593">
        <f>2284091/1000</f>
        <v>2284.0909999999999</v>
      </c>
      <c r="H20" s="593">
        <v>-13.058999999999999</v>
      </c>
      <c r="I20" s="593">
        <v>0</v>
      </c>
    </row>
    <row r="21" spans="2:9" ht="30" x14ac:dyDescent="0.25">
      <c r="B21" s="615" t="s">
        <v>607</v>
      </c>
      <c r="C21" s="591" t="s">
        <v>689</v>
      </c>
      <c r="D21" s="593">
        <f>409601597/1000</f>
        <v>409601.59700000001</v>
      </c>
      <c r="E21" s="593">
        <f>14441004/1000</f>
        <v>14441.004000000001</v>
      </c>
      <c r="F21" s="593">
        <f>13390691/1000</f>
        <v>13390.691000000001</v>
      </c>
      <c r="G21" s="593">
        <f>409601597/1000</f>
        <v>409601.59700000001</v>
      </c>
      <c r="H21" s="593">
        <f>-4918904/1000</f>
        <v>-4918.9040000000005</v>
      </c>
      <c r="I21" s="593">
        <v>0</v>
      </c>
    </row>
    <row r="22" spans="2:9" ht="45" x14ac:dyDescent="0.25">
      <c r="B22" s="615" t="s">
        <v>608</v>
      </c>
      <c r="C22" s="591" t="s">
        <v>690</v>
      </c>
      <c r="D22" s="593">
        <f>24616728/1000</f>
        <v>24616.727999999999</v>
      </c>
      <c r="E22" s="593">
        <f>83628/1000</f>
        <v>83.628</v>
      </c>
      <c r="F22" s="593">
        <f>83628/1000</f>
        <v>83.628</v>
      </c>
      <c r="G22" s="593">
        <f>24616728/1000</f>
        <v>24616.727999999999</v>
      </c>
      <c r="H22" s="593">
        <f>-1031794/1000</f>
        <v>-1031.7940000000001</v>
      </c>
      <c r="I22" s="593">
        <v>0</v>
      </c>
    </row>
    <row r="23" spans="2:9" ht="45" x14ac:dyDescent="0.25">
      <c r="B23" s="615" t="s">
        <v>609</v>
      </c>
      <c r="C23" s="591" t="s">
        <v>691</v>
      </c>
      <c r="D23" s="593">
        <f>19736333/1000</f>
        <v>19736.332999999999</v>
      </c>
      <c r="E23" s="593">
        <v>5.1829999999999998</v>
      </c>
      <c r="F23" s="593">
        <v>5.1829999999999998</v>
      </c>
      <c r="G23" s="593">
        <f>19736330/1000</f>
        <v>19736.330000000002</v>
      </c>
      <c r="H23" s="593">
        <f>-528646/1000</f>
        <v>-528.64599999999996</v>
      </c>
      <c r="I23" s="593">
        <v>0</v>
      </c>
    </row>
    <row r="24" spans="2:9" ht="30" x14ac:dyDescent="0.25">
      <c r="B24" s="616" t="s">
        <v>610</v>
      </c>
      <c r="C24" s="591" t="s">
        <v>692</v>
      </c>
      <c r="D24" s="593">
        <v>0</v>
      </c>
      <c r="E24" s="593">
        <v>0</v>
      </c>
      <c r="F24" s="593">
        <v>0</v>
      </c>
      <c r="G24" s="593">
        <v>0</v>
      </c>
      <c r="H24" s="593">
        <v>0</v>
      </c>
      <c r="I24" s="593">
        <v>0</v>
      </c>
    </row>
    <row r="25" spans="2:9" x14ac:dyDescent="0.25">
      <c r="B25" s="615" t="s">
        <v>611</v>
      </c>
      <c r="C25" s="591" t="s">
        <v>693</v>
      </c>
      <c r="D25" s="593">
        <v>22.619</v>
      </c>
      <c r="E25" s="593">
        <v>0</v>
      </c>
      <c r="F25" s="593">
        <v>0</v>
      </c>
      <c r="G25" s="593">
        <v>22.619</v>
      </c>
      <c r="H25" s="593">
        <v>-9.1969999999999992</v>
      </c>
      <c r="I25" s="593">
        <v>0</v>
      </c>
    </row>
    <row r="26" spans="2:9" ht="30" x14ac:dyDescent="0.25">
      <c r="B26" s="615" t="s">
        <v>612</v>
      </c>
      <c r="C26" s="591" t="s">
        <v>694</v>
      </c>
      <c r="D26" s="593">
        <f>11488093/1000</f>
        <v>11488.093000000001</v>
      </c>
      <c r="E26" s="593">
        <v>0</v>
      </c>
      <c r="F26" s="593">
        <v>0</v>
      </c>
      <c r="G26" s="593">
        <f>11488093/1000</f>
        <v>11488.093000000001</v>
      </c>
      <c r="H26" s="593">
        <f>-747752/1000</f>
        <v>-747.75199999999995</v>
      </c>
      <c r="I26" s="593">
        <v>0</v>
      </c>
    </row>
    <row r="27" spans="2:9" ht="30" x14ac:dyDescent="0.25">
      <c r="B27" s="615" t="s">
        <v>613</v>
      </c>
      <c r="C27" s="591" t="s">
        <v>695</v>
      </c>
      <c r="D27" s="593">
        <f>7730849/1000</f>
        <v>7730.8490000000002</v>
      </c>
      <c r="E27" s="593">
        <f>222220/1000</f>
        <v>222.22</v>
      </c>
      <c r="F27" s="593">
        <f>222220/1000</f>
        <v>222.22</v>
      </c>
      <c r="G27" s="593">
        <f>7730849/1000</f>
        <v>7730.8490000000002</v>
      </c>
      <c r="H27" s="593">
        <f>-283684/1000</f>
        <v>-283.68400000000003</v>
      </c>
      <c r="I27" s="593">
        <v>0</v>
      </c>
    </row>
    <row r="28" spans="2:9" x14ac:dyDescent="0.25">
      <c r="B28" s="615" t="s">
        <v>614</v>
      </c>
      <c r="C28" s="591" t="s">
        <v>696</v>
      </c>
      <c r="D28" s="593">
        <f>6394083/1000</f>
        <v>6394.0829999999996</v>
      </c>
      <c r="E28" s="593">
        <v>0</v>
      </c>
      <c r="F28" s="593">
        <v>0</v>
      </c>
      <c r="G28" s="593">
        <f>6394083/1000</f>
        <v>6394.0829999999996</v>
      </c>
      <c r="H28" s="593">
        <f>-690440/1000</f>
        <v>-690.44</v>
      </c>
      <c r="I28" s="593">
        <v>0</v>
      </c>
    </row>
    <row r="29" spans="2:9" x14ac:dyDescent="0.25">
      <c r="B29" s="617" t="s">
        <v>615</v>
      </c>
      <c r="C29" s="600" t="s">
        <v>0</v>
      </c>
      <c r="D29" s="601">
        <f>SUM(D10:D28)</f>
        <v>1300148.9140000001</v>
      </c>
      <c r="E29" s="601">
        <f t="shared" ref="E29:I29" si="0">SUM(E10:E28)</f>
        <v>73989.482999999993</v>
      </c>
      <c r="F29" s="601">
        <f t="shared" si="0"/>
        <v>72939.17</v>
      </c>
      <c r="G29" s="601">
        <f t="shared" si="0"/>
        <v>1300148.9110000001</v>
      </c>
      <c r="H29" s="601">
        <f t="shared" si="0"/>
        <v>-30408.027000000006</v>
      </c>
      <c r="I29" s="601">
        <f t="shared" si="0"/>
        <v>0</v>
      </c>
    </row>
  </sheetData>
  <mergeCells count="8">
    <mergeCell ref="E3:F3"/>
    <mergeCell ref="D6:G6"/>
    <mergeCell ref="H6:H9"/>
    <mergeCell ref="I6:I9"/>
    <mergeCell ref="E7:F7"/>
    <mergeCell ref="E8:E9"/>
    <mergeCell ref="F8:F9"/>
    <mergeCell ref="G8:G9"/>
  </mergeCells>
  <hyperlinks>
    <hyperlink ref="B2" location="Indhold!B28" display="Skema EU CQ5: Kreditkvalitet af lån og forskud til ikkefinansielle selskaber efter branche" xr:uid="{EBCC0789-C72D-4ED9-B316-36BD9C117C07}"/>
  </hyperlinks>
  <pageMargins left="0.70866141732283472" right="0.70866141732283472" top="0.74803149606299213" bottom="0.74803149606299213" header="0.31496062992125984" footer="0.31496062992125984"/>
  <pageSetup paperSize="9" scale="95" fitToWidth="0" orientation="landscape" r:id="rId1"/>
  <headerFooter>
    <oddHeader>&amp;CDA
Bilag XV</oddHeader>
    <oddFooter>&amp;C&amp;P</oddFooter>
  </headerFooter>
  <ignoredErrors>
    <ignoredError sqref="B10:B29"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95E6-917E-4727-B792-54625D813D9B}">
  <sheetPr>
    <pageSetUpPr autoPageBreaks="0" fitToPage="1"/>
  </sheetPr>
  <dimension ref="A2:J14"/>
  <sheetViews>
    <sheetView showGridLines="0" zoomScaleNormal="100" zoomScaleSheetLayoutView="100" zoomScalePageLayoutView="80" workbookViewId="0">
      <selection activeCell="B2" sqref="B2"/>
    </sheetView>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21" customHeight="1" x14ac:dyDescent="0.35">
      <c r="A2" s="243"/>
      <c r="B2" s="878" t="s">
        <v>736</v>
      </c>
      <c r="D2" s="244"/>
      <c r="E2" s="244"/>
      <c r="F2" s="244"/>
      <c r="G2" s="244"/>
      <c r="H2" s="244"/>
      <c r="J2" s="242"/>
    </row>
    <row r="5" spans="1:10" ht="32.25" customHeight="1" x14ac:dyDescent="0.25">
      <c r="B5" s="514"/>
      <c r="C5" s="630"/>
      <c r="D5" s="631" t="s">
        <v>737</v>
      </c>
      <c r="E5" s="632" t="s">
        <v>738</v>
      </c>
      <c r="F5" s="636"/>
      <c r="G5" s="636"/>
      <c r="H5" s="637"/>
      <c r="I5" s="242"/>
      <c r="J5" s="242"/>
    </row>
    <row r="6" spans="1:10" ht="32.25" customHeight="1" x14ac:dyDescent="0.25">
      <c r="B6" s="514"/>
      <c r="C6" s="630"/>
      <c r="D6" s="633"/>
      <c r="E6" s="634"/>
      <c r="F6" s="638" t="s">
        <v>1465</v>
      </c>
      <c r="G6" s="639" t="s">
        <v>1466</v>
      </c>
      <c r="H6" s="640"/>
      <c r="I6" s="242"/>
      <c r="J6" s="242"/>
    </row>
    <row r="7" spans="1:10" ht="32.25" customHeight="1" x14ac:dyDescent="0.25">
      <c r="B7" s="446" t="s">
        <v>1431</v>
      </c>
      <c r="C7" s="630"/>
      <c r="D7" s="633"/>
      <c r="E7" s="634"/>
      <c r="F7" s="641"/>
      <c r="G7" s="634"/>
      <c r="H7" s="642" t="s">
        <v>1467</v>
      </c>
      <c r="I7" s="242"/>
      <c r="J7" s="242"/>
    </row>
    <row r="8" spans="1:10" ht="14.25" customHeight="1" x14ac:dyDescent="0.25">
      <c r="B8" s="514"/>
      <c r="C8" s="630"/>
      <c r="D8" s="635" t="s">
        <v>105</v>
      </c>
      <c r="E8" s="643" t="s">
        <v>104</v>
      </c>
      <c r="F8" s="643" t="s">
        <v>99</v>
      </c>
      <c r="G8" s="643" t="s">
        <v>98</v>
      </c>
      <c r="H8" s="644" t="s">
        <v>97</v>
      </c>
      <c r="I8" s="242"/>
      <c r="J8" s="242"/>
    </row>
    <row r="9" spans="1:10" ht="11.25" customHeight="1" x14ac:dyDescent="0.25">
      <c r="B9" s="16">
        <v>1</v>
      </c>
      <c r="C9" s="30" t="s">
        <v>589</v>
      </c>
      <c r="D9" s="645">
        <v>1250448.4356400007</v>
      </c>
      <c r="E9" s="31">
        <v>2098901.5643599993</v>
      </c>
      <c r="F9" s="31">
        <v>2089219.7414999993</v>
      </c>
      <c r="G9" s="31">
        <v>9681.8228600000002</v>
      </c>
      <c r="H9" s="646">
        <v>0</v>
      </c>
      <c r="I9" s="242"/>
      <c r="J9" s="242"/>
    </row>
    <row r="10" spans="1:10" ht="11.25" customHeight="1" x14ac:dyDescent="0.25">
      <c r="B10" s="16">
        <v>2</v>
      </c>
      <c r="C10" s="30" t="s">
        <v>739</v>
      </c>
      <c r="D10" s="31">
        <v>0</v>
      </c>
      <c r="E10" s="31">
        <v>0</v>
      </c>
      <c r="F10" s="102">
        <v>0</v>
      </c>
      <c r="G10" s="31">
        <v>0</v>
      </c>
      <c r="H10" s="647" t="s">
        <v>740</v>
      </c>
      <c r="I10" s="242"/>
      <c r="J10" s="242"/>
    </row>
    <row r="11" spans="1:10" ht="12" customHeight="1" x14ac:dyDescent="0.25">
      <c r="B11" s="16">
        <v>3</v>
      </c>
      <c r="C11" s="30" t="s">
        <v>0</v>
      </c>
      <c r="D11" s="31">
        <v>1250448.4356400007</v>
      </c>
      <c r="E11" s="31">
        <v>2098901.5643599993</v>
      </c>
      <c r="F11" s="31">
        <v>2089219.7414999993</v>
      </c>
      <c r="G11" s="31">
        <v>9681.8228600000002</v>
      </c>
      <c r="H11" s="31">
        <f>+H9</f>
        <v>0</v>
      </c>
      <c r="I11" s="242"/>
      <c r="J11" s="242"/>
    </row>
    <row r="12" spans="1:10" x14ac:dyDescent="0.25">
      <c r="B12" s="16">
        <v>4</v>
      </c>
      <c r="C12" s="648" t="s">
        <v>741</v>
      </c>
      <c r="D12" s="649">
        <v>130786.58219999998</v>
      </c>
      <c r="E12" s="31">
        <v>103506.41780000002</v>
      </c>
      <c r="F12" s="31">
        <v>108944.49813000004</v>
      </c>
      <c r="G12" s="650">
        <v>0</v>
      </c>
      <c r="H12" s="646">
        <v>0</v>
      </c>
      <c r="I12" s="242"/>
      <c r="J12" s="242"/>
    </row>
    <row r="13" spans="1:10" x14ac:dyDescent="0.25">
      <c r="B13" s="13" t="s">
        <v>476</v>
      </c>
      <c r="C13" s="648" t="s">
        <v>742</v>
      </c>
      <c r="D13" s="649">
        <v>130786.58219999998</v>
      </c>
      <c r="E13" s="31">
        <v>103506.41780000002</v>
      </c>
      <c r="F13" s="647"/>
      <c r="G13" s="647"/>
      <c r="H13" s="647"/>
      <c r="I13" s="242"/>
      <c r="J13" s="242"/>
    </row>
    <row r="14" spans="1:10" x14ac:dyDescent="0.25">
      <c r="C14" s="96"/>
    </row>
  </sheetData>
  <hyperlinks>
    <hyperlink ref="B2" location="Indhold!B30" display="Skema EU CR3 - Overblik over kreditrisikoreduktionsteknikker  Offentliggørelse af anvendelsen af kreditrisikoreduktionsteknikker" xr:uid="{12DE48EE-06B1-4D14-817B-FCA362E09F4C}"/>
  </hyperlinks>
  <pageMargins left="0.70866141732283472" right="0.70866141732283472" top="0.74803149606299213" bottom="0.74803149606299213" header="0.31496062992125984" footer="0.31496062992125984"/>
  <pageSetup paperSize="9" scale="68"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51A6D-06BB-4231-B8DB-F8F656DCCD6E}">
  <sheetPr>
    <pageSetUpPr fitToPage="1"/>
  </sheetPr>
  <dimension ref="B2:I24"/>
  <sheetViews>
    <sheetView showGridLines="0" zoomScaleNormal="100" zoomScalePageLayoutView="80" workbookViewId="0">
      <selection activeCell="B2" sqref="B2"/>
    </sheetView>
  </sheetViews>
  <sheetFormatPr defaultRowHeight="15" x14ac:dyDescent="0.25"/>
  <cols>
    <col min="2" max="2" width="11" bestFit="1" customWidth="1"/>
    <col min="3" max="3" width="69.140625" customWidth="1"/>
    <col min="4" max="9" width="24.85546875" customWidth="1"/>
  </cols>
  <sheetData>
    <row r="2" spans="2:9" x14ac:dyDescent="0.25">
      <c r="B2" s="878" t="s">
        <v>743</v>
      </c>
    </row>
    <row r="5" spans="2:9" x14ac:dyDescent="0.25">
      <c r="B5" s="456"/>
      <c r="C5" s="1055" t="s">
        <v>744</v>
      </c>
      <c r="D5" s="1058" t="s">
        <v>745</v>
      </c>
      <c r="E5" s="1058"/>
      <c r="F5" s="1058" t="s">
        <v>746</v>
      </c>
      <c r="G5" s="1058"/>
      <c r="H5" s="1058" t="s">
        <v>747</v>
      </c>
      <c r="I5" s="1058"/>
    </row>
    <row r="6" spans="2:9" ht="30" x14ac:dyDescent="0.25">
      <c r="B6" s="654" t="s">
        <v>1431</v>
      </c>
      <c r="C6" s="1056"/>
      <c r="D6" s="475" t="s">
        <v>668</v>
      </c>
      <c r="E6" s="475" t="s">
        <v>420</v>
      </c>
      <c r="F6" s="475" t="s">
        <v>668</v>
      </c>
      <c r="G6" s="475" t="s">
        <v>420</v>
      </c>
      <c r="H6" s="475" t="s">
        <v>748</v>
      </c>
      <c r="I6" s="475" t="s">
        <v>749</v>
      </c>
    </row>
    <row r="7" spans="2:9" x14ac:dyDescent="0.25">
      <c r="B7" s="484"/>
      <c r="C7" s="1057"/>
      <c r="D7" s="471" t="s">
        <v>105</v>
      </c>
      <c r="E7" s="471" t="s">
        <v>104</v>
      </c>
      <c r="F7" s="471" t="s">
        <v>99</v>
      </c>
      <c r="G7" s="471" t="s">
        <v>98</v>
      </c>
      <c r="H7" s="471" t="s">
        <v>97</v>
      </c>
      <c r="I7" s="471" t="s">
        <v>113</v>
      </c>
    </row>
    <row r="8" spans="2:9" x14ac:dyDescent="0.25">
      <c r="B8" s="246">
        <v>1</v>
      </c>
      <c r="C8" s="651" t="s">
        <v>750</v>
      </c>
      <c r="D8" s="652">
        <f>1187424196/1000</f>
        <v>1187424.196</v>
      </c>
      <c r="E8" s="653">
        <v>0</v>
      </c>
      <c r="F8" s="653">
        <f>1209267539/1000</f>
        <v>1209267.5390000001</v>
      </c>
      <c r="G8" s="653">
        <f>362509/1000</f>
        <v>362.50900000000001</v>
      </c>
      <c r="H8" s="653">
        <f>293065/1000</f>
        <v>293.065</v>
      </c>
      <c r="I8" s="249">
        <f t="shared" ref="I8:I9" si="0">+H8/(F8+G8)*100</f>
        <v>2.4227655429406129E-2</v>
      </c>
    </row>
    <row r="9" spans="2:9" x14ac:dyDescent="0.25">
      <c r="B9" s="246">
        <v>2</v>
      </c>
      <c r="C9" s="462" t="s">
        <v>751</v>
      </c>
      <c r="D9" s="247">
        <v>0</v>
      </c>
      <c r="E9" s="248">
        <f>888550/1000</f>
        <v>888.55</v>
      </c>
      <c r="F9" s="248">
        <f>9590657/1000</f>
        <v>9590.6569999999992</v>
      </c>
      <c r="G9" s="248">
        <v>0</v>
      </c>
      <c r="H9" s="248">
        <v>0</v>
      </c>
      <c r="I9" s="249">
        <f t="shared" si="0"/>
        <v>0</v>
      </c>
    </row>
    <row r="10" spans="2:9" x14ac:dyDescent="0.25">
      <c r="B10" s="246">
        <v>3</v>
      </c>
      <c r="C10" s="462" t="s">
        <v>752</v>
      </c>
      <c r="D10" s="247">
        <v>0</v>
      </c>
      <c r="E10" s="248">
        <v>0</v>
      </c>
      <c r="F10" s="248">
        <v>0</v>
      </c>
      <c r="G10" s="248">
        <v>0</v>
      </c>
      <c r="H10" s="248">
        <v>0</v>
      </c>
      <c r="I10" s="249">
        <v>0</v>
      </c>
    </row>
    <row r="11" spans="2:9" x14ac:dyDescent="0.25">
      <c r="B11" s="246">
        <v>4</v>
      </c>
      <c r="C11" s="462" t="s">
        <v>753</v>
      </c>
      <c r="D11" s="247">
        <v>0</v>
      </c>
      <c r="E11" s="248">
        <v>0</v>
      </c>
      <c r="F11" s="248">
        <v>0</v>
      </c>
      <c r="G11" s="248">
        <v>0</v>
      </c>
      <c r="H11" s="248">
        <v>0</v>
      </c>
      <c r="I11" s="249">
        <v>0</v>
      </c>
    </row>
    <row r="12" spans="2:9" x14ac:dyDescent="0.25">
      <c r="B12" s="246">
        <v>5</v>
      </c>
      <c r="C12" s="462" t="s">
        <v>754</v>
      </c>
      <c r="D12" s="247">
        <v>0</v>
      </c>
      <c r="E12" s="248">
        <v>0</v>
      </c>
      <c r="F12" s="248">
        <v>0</v>
      </c>
      <c r="G12" s="248">
        <v>0</v>
      </c>
      <c r="H12" s="248">
        <v>0</v>
      </c>
      <c r="I12" s="249">
        <v>0</v>
      </c>
    </row>
    <row r="13" spans="2:9" x14ac:dyDescent="0.25">
      <c r="B13" s="246">
        <v>6</v>
      </c>
      <c r="C13" s="462" t="s">
        <v>481</v>
      </c>
      <c r="D13" s="247">
        <f>185076602/1000</f>
        <v>185076.60200000001</v>
      </c>
      <c r="E13" s="248">
        <f>57527640/1000</f>
        <v>57527.64</v>
      </c>
      <c r="F13" s="248">
        <f>185076602/1000</f>
        <v>185076.60200000001</v>
      </c>
      <c r="G13" s="248">
        <f>41224281/1000</f>
        <v>41224.281000000003</v>
      </c>
      <c r="H13" s="248">
        <f>(44337845+8244856)/1000</f>
        <v>52582.701000000001</v>
      </c>
      <c r="I13" s="249">
        <f t="shared" ref="I13:I24" si="1">+H13/(F13+G13)*100</f>
        <v>23.235747162329893</v>
      </c>
    </row>
    <row r="14" spans="2:9" x14ac:dyDescent="0.25">
      <c r="B14" s="246">
        <v>7</v>
      </c>
      <c r="C14" s="462" t="s">
        <v>487</v>
      </c>
      <c r="D14" s="247">
        <f>1000025755/1000</f>
        <v>1000025.755</v>
      </c>
      <c r="E14" s="248">
        <f>798051356/1000</f>
        <v>798051.35600000003</v>
      </c>
      <c r="F14" s="248">
        <f>962288330/1000</f>
        <v>962288.33</v>
      </c>
      <c r="G14" s="248">
        <f>50903161/1000</f>
        <v>50903.161</v>
      </c>
      <c r="H14" s="248">
        <f>(801974148+41495840)/1000</f>
        <v>843469.98800000001</v>
      </c>
      <c r="I14" s="249">
        <f t="shared" si="1"/>
        <v>83.248822704532571</v>
      </c>
    </row>
    <row r="15" spans="2:9" x14ac:dyDescent="0.25">
      <c r="B15" s="246">
        <v>8</v>
      </c>
      <c r="C15" s="462" t="s">
        <v>755</v>
      </c>
      <c r="D15" s="247">
        <f>1249341235/1000</f>
        <v>1249341.2350000001</v>
      </c>
      <c r="E15" s="248">
        <f>2197149282/1000</f>
        <v>2197149.2820000001</v>
      </c>
      <c r="F15" s="248">
        <f>1230153502/1000</f>
        <v>1230153.5020000001</v>
      </c>
      <c r="G15" s="248">
        <f>291827483/1000</f>
        <v>291827.48300000001</v>
      </c>
      <c r="H15" s="248">
        <f>(786437025+203830603)/1000</f>
        <v>990267.62800000003</v>
      </c>
      <c r="I15" s="249">
        <f t="shared" si="1"/>
        <v>65.064388961469191</v>
      </c>
    </row>
    <row r="16" spans="2:9" x14ac:dyDescent="0.25">
      <c r="B16" s="246">
        <v>9</v>
      </c>
      <c r="C16" s="462" t="s">
        <v>483</v>
      </c>
      <c r="D16" s="247">
        <f>819426677/1000</f>
        <v>819426.67700000003</v>
      </c>
      <c r="E16" s="248">
        <f>678007854/1000</f>
        <v>678007.85400000005</v>
      </c>
      <c r="F16" s="248">
        <f>819426677/1000</f>
        <v>819426.67700000003</v>
      </c>
      <c r="G16" s="248">
        <f>677380996/1000</f>
        <v>677380.99600000004</v>
      </c>
      <c r="H16" s="248">
        <f>(288369413+244034053)/1000</f>
        <v>532403.46600000001</v>
      </c>
      <c r="I16" s="249">
        <f t="shared" si="1"/>
        <v>35.569263546927317</v>
      </c>
    </row>
    <row r="17" spans="2:9" x14ac:dyDescent="0.25">
      <c r="B17" s="246">
        <v>10</v>
      </c>
      <c r="C17" s="462" t="s">
        <v>489</v>
      </c>
      <c r="D17" s="247">
        <f>131532240/1000</f>
        <v>131532.24</v>
      </c>
      <c r="E17" s="248">
        <f>110878942/1000</f>
        <v>110878.942</v>
      </c>
      <c r="F17" s="248">
        <f>121629068/1000</f>
        <v>121629.068</v>
      </c>
      <c r="G17" s="248">
        <f>25982279/1000</f>
        <v>25982.278999999999</v>
      </c>
      <c r="H17" s="248">
        <f>(154107229+27222403)/1000</f>
        <v>181329.63200000001</v>
      </c>
      <c r="I17" s="249">
        <f t="shared" si="1"/>
        <v>122.84261046679561</v>
      </c>
    </row>
    <row r="18" spans="2:9" x14ac:dyDescent="0.25">
      <c r="B18" s="246">
        <v>11</v>
      </c>
      <c r="C18" s="462" t="s">
        <v>756</v>
      </c>
      <c r="D18" s="247">
        <f>90111494/1000</f>
        <v>90111.494000000006</v>
      </c>
      <c r="E18" s="248">
        <f>36175781/1000</f>
        <v>36175.781000000003</v>
      </c>
      <c r="F18" s="248">
        <f>17857077/1000</f>
        <v>17857.077000000001</v>
      </c>
      <c r="G18" s="248">
        <f>707000/1000</f>
        <v>707</v>
      </c>
      <c r="H18" s="248">
        <f>(26785615+1060500)/1000</f>
        <v>27846.115000000002</v>
      </c>
      <c r="I18" s="249">
        <f t="shared" si="1"/>
        <v>149.99999730662611</v>
      </c>
    </row>
    <row r="19" spans="2:9" x14ac:dyDescent="0.25">
      <c r="B19" s="246">
        <v>12</v>
      </c>
      <c r="C19" s="462" t="s">
        <v>475</v>
      </c>
      <c r="D19" s="247">
        <v>0</v>
      </c>
      <c r="E19" s="248">
        <v>0</v>
      </c>
      <c r="F19" s="248">
        <v>0</v>
      </c>
      <c r="G19" s="248">
        <v>0</v>
      </c>
      <c r="H19" s="248">
        <v>0</v>
      </c>
      <c r="I19" s="249">
        <v>0</v>
      </c>
    </row>
    <row r="20" spans="2:9" x14ac:dyDescent="0.25">
      <c r="B20" s="246">
        <v>13</v>
      </c>
      <c r="C20" s="462" t="s">
        <v>757</v>
      </c>
      <c r="D20" s="247">
        <v>0</v>
      </c>
      <c r="E20" s="248">
        <v>0</v>
      </c>
      <c r="F20" s="248">
        <v>0</v>
      </c>
      <c r="G20" s="248">
        <v>0</v>
      </c>
      <c r="H20" s="248">
        <v>0</v>
      </c>
      <c r="I20" s="249">
        <v>0</v>
      </c>
    </row>
    <row r="21" spans="2:9" x14ac:dyDescent="0.25">
      <c r="B21" s="246">
        <v>14</v>
      </c>
      <c r="C21" s="462" t="s">
        <v>758</v>
      </c>
      <c r="D21" s="247">
        <v>0</v>
      </c>
      <c r="E21" s="248">
        <v>0</v>
      </c>
      <c r="F21" s="248">
        <v>0</v>
      </c>
      <c r="G21" s="248">
        <v>0</v>
      </c>
      <c r="H21" s="248">
        <v>0</v>
      </c>
      <c r="I21" s="249">
        <v>0</v>
      </c>
    </row>
    <row r="22" spans="2:9" x14ac:dyDescent="0.25">
      <c r="B22" s="246">
        <v>15</v>
      </c>
      <c r="C22" s="462" t="s">
        <v>187</v>
      </c>
      <c r="D22" s="247">
        <f>183501211/1000</f>
        <v>183501.21100000001</v>
      </c>
      <c r="E22" s="248">
        <v>0</v>
      </c>
      <c r="F22" s="248">
        <f>183501211/1000</f>
        <v>183501.21100000001</v>
      </c>
      <c r="G22" s="248">
        <v>0</v>
      </c>
      <c r="H22" s="248">
        <f>258730749/1000</f>
        <v>258730.74900000001</v>
      </c>
      <c r="I22" s="249">
        <f t="shared" si="1"/>
        <v>140.99675287701507</v>
      </c>
    </row>
    <row r="23" spans="2:9" x14ac:dyDescent="0.25">
      <c r="B23" s="246">
        <v>16</v>
      </c>
      <c r="C23" s="462" t="s">
        <v>759</v>
      </c>
      <c r="D23" s="247">
        <f>231185310/1000</f>
        <v>231185.31</v>
      </c>
      <c r="E23" s="248">
        <v>0</v>
      </c>
      <c r="F23" s="248">
        <f>231185310/1000</f>
        <v>231185.31</v>
      </c>
      <c r="G23" s="248">
        <v>0</v>
      </c>
      <c r="H23" s="248">
        <f>226431916/1000</f>
        <v>226431.916</v>
      </c>
      <c r="I23" s="249">
        <f t="shared" si="1"/>
        <v>97.943903096611123</v>
      </c>
    </row>
    <row r="24" spans="2:9" x14ac:dyDescent="0.25">
      <c r="B24" s="251">
        <v>17</v>
      </c>
      <c r="C24" s="252" t="s">
        <v>760</v>
      </c>
      <c r="D24" s="247">
        <f>SUM(D8:D23)</f>
        <v>5077624.72</v>
      </c>
      <c r="E24" s="247">
        <f t="shared" ref="E24:H24" si="2">SUM(E8:E23)</f>
        <v>3878679.4049999998</v>
      </c>
      <c r="F24" s="247">
        <f t="shared" si="2"/>
        <v>4969975.9729999993</v>
      </c>
      <c r="G24" s="247">
        <f t="shared" si="2"/>
        <v>1088387.7090000003</v>
      </c>
      <c r="H24" s="247">
        <f t="shared" si="2"/>
        <v>3113355.2600000007</v>
      </c>
      <c r="I24" s="249">
        <f t="shared" si="1"/>
        <v>51.389375471962637</v>
      </c>
    </row>
  </sheetData>
  <mergeCells count="4">
    <mergeCell ref="C5:C7"/>
    <mergeCell ref="D5:E5"/>
    <mergeCell ref="F5:G5"/>
    <mergeCell ref="H5:I5"/>
  </mergeCells>
  <hyperlinks>
    <hyperlink ref="B2" location="Indhold!B32" display="Skema EU CR4 — Standardmetode — Kreditrisikoeksponering og virkninger af kreditrisikoreduktionsteknikker" xr:uid="{3A45BCC7-831A-47D6-9B08-A77E0F8B5DD0}"/>
  </hyperlinks>
  <pageMargins left="0.70866141732283472" right="0.70866141732283472" top="0.74803149606299213" bottom="0.74803149606299213" header="0.31496062992125984" footer="0.31496062992125984"/>
  <pageSetup paperSize="9" scale="58" fitToHeight="0" orientation="landscape" r:id="rId1"/>
  <headerFooter>
    <oddHeader>&amp;CDA
Bilag XIX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6F9E1-763C-46BB-9DE0-428B3FC8720F}">
  <sheetPr>
    <pageSetUpPr fitToPage="1"/>
  </sheetPr>
  <dimension ref="B2:T24"/>
  <sheetViews>
    <sheetView showGridLines="0" zoomScaleNormal="100" workbookViewId="0">
      <selection activeCell="B2" sqref="B2"/>
    </sheetView>
  </sheetViews>
  <sheetFormatPr defaultRowHeight="15" x14ac:dyDescent="0.25"/>
  <cols>
    <col min="2" max="2" width="11" bestFit="1" customWidth="1"/>
    <col min="3" max="3" width="38.140625" customWidth="1"/>
    <col min="4" max="4" width="10" bestFit="1" customWidth="1"/>
    <col min="5" max="7" width="4.42578125" customWidth="1"/>
    <col min="8" max="8" width="8.42578125" bestFit="1" customWidth="1"/>
    <col min="9" max="9" width="10" bestFit="1" customWidth="1"/>
    <col min="10" max="10" width="8.42578125" bestFit="1" customWidth="1"/>
    <col min="11" max="11" width="4.42578125" customWidth="1"/>
    <col min="12" max="13" width="10" bestFit="1" customWidth="1"/>
    <col min="14" max="14" width="8.42578125" bestFit="1" customWidth="1"/>
    <col min="15" max="15" width="7.42578125" bestFit="1" customWidth="1"/>
    <col min="16" max="16" width="6.140625" customWidth="1"/>
    <col min="17" max="17" width="7" customWidth="1"/>
    <col min="18" max="18" width="7.42578125" customWidth="1"/>
    <col min="19" max="19" width="10" bestFit="1" customWidth="1"/>
    <col min="20" max="20" width="16" bestFit="1" customWidth="1"/>
  </cols>
  <sheetData>
    <row r="2" spans="2:20" x14ac:dyDescent="0.25">
      <c r="B2" s="878" t="s">
        <v>761</v>
      </c>
    </row>
    <row r="5" spans="2:20" ht="15" customHeight="1" x14ac:dyDescent="0.25">
      <c r="B5" s="456"/>
      <c r="C5" s="1055" t="s">
        <v>744</v>
      </c>
      <c r="D5" s="1059" t="s">
        <v>762</v>
      </c>
      <c r="E5" s="1060"/>
      <c r="F5" s="1060"/>
      <c r="G5" s="1060"/>
      <c r="H5" s="1060"/>
      <c r="I5" s="1060"/>
      <c r="J5" s="1060"/>
      <c r="K5" s="1060"/>
      <c r="L5" s="1060"/>
      <c r="M5" s="1060"/>
      <c r="N5" s="1060"/>
      <c r="O5" s="1060"/>
      <c r="P5" s="1060"/>
      <c r="Q5" s="1060"/>
      <c r="R5" s="1061"/>
      <c r="S5" s="1062" t="s">
        <v>0</v>
      </c>
      <c r="T5" s="1062" t="s">
        <v>763</v>
      </c>
    </row>
    <row r="6" spans="2:20" x14ac:dyDescent="0.25">
      <c r="B6" s="654" t="s">
        <v>1431</v>
      </c>
      <c r="C6" s="1056"/>
      <c r="D6" s="655">
        <v>0</v>
      </c>
      <c r="E6" s="655">
        <v>0.02</v>
      </c>
      <c r="F6" s="655">
        <v>0.04</v>
      </c>
      <c r="G6" s="655">
        <v>0.1</v>
      </c>
      <c r="H6" s="655">
        <v>0.2</v>
      </c>
      <c r="I6" s="655">
        <v>0.35</v>
      </c>
      <c r="J6" s="655">
        <v>0.5</v>
      </c>
      <c r="K6" s="655">
        <v>0.7</v>
      </c>
      <c r="L6" s="655">
        <v>0.75</v>
      </c>
      <c r="M6" s="655">
        <v>1</v>
      </c>
      <c r="N6" s="655">
        <v>1.5</v>
      </c>
      <c r="O6" s="655">
        <v>2.5</v>
      </c>
      <c r="P6" s="655">
        <v>3.7</v>
      </c>
      <c r="Q6" s="655">
        <v>12.5</v>
      </c>
      <c r="R6" s="655" t="s">
        <v>764</v>
      </c>
      <c r="S6" s="1062"/>
      <c r="T6" s="1062"/>
    </row>
    <row r="7" spans="2:20" x14ac:dyDescent="0.25">
      <c r="B7" s="484"/>
      <c r="C7" s="1057"/>
      <c r="D7" s="471" t="s">
        <v>105</v>
      </c>
      <c r="E7" s="471" t="s">
        <v>104</v>
      </c>
      <c r="F7" s="471" t="s">
        <v>99</v>
      </c>
      <c r="G7" s="471" t="s">
        <v>98</v>
      </c>
      <c r="H7" s="471" t="s">
        <v>97</v>
      </c>
      <c r="I7" s="471" t="s">
        <v>113</v>
      </c>
      <c r="J7" s="471" t="s">
        <v>114</v>
      </c>
      <c r="K7" s="471" t="s">
        <v>169</v>
      </c>
      <c r="L7" s="471" t="s">
        <v>328</v>
      </c>
      <c r="M7" s="471" t="s">
        <v>329</v>
      </c>
      <c r="N7" s="471" t="s">
        <v>330</v>
      </c>
      <c r="O7" s="471" t="s">
        <v>331</v>
      </c>
      <c r="P7" s="471" t="s">
        <v>332</v>
      </c>
      <c r="Q7" s="471" t="s">
        <v>359</v>
      </c>
      <c r="R7" s="471" t="s">
        <v>576</v>
      </c>
      <c r="S7" s="471" t="s">
        <v>765</v>
      </c>
      <c r="T7" s="471" t="s">
        <v>766</v>
      </c>
    </row>
    <row r="8" spans="2:20" x14ac:dyDescent="0.25">
      <c r="B8" s="656">
        <v>1</v>
      </c>
      <c r="C8" s="657" t="s">
        <v>750</v>
      </c>
      <c r="D8" s="652">
        <f>1209336983/1000</f>
        <v>1209336.983</v>
      </c>
      <c r="E8" s="653">
        <v>0</v>
      </c>
      <c r="F8" s="653">
        <v>0</v>
      </c>
      <c r="G8" s="653">
        <v>0</v>
      </c>
      <c r="H8" s="653">
        <v>0</v>
      </c>
      <c r="I8" s="653">
        <v>0</v>
      </c>
      <c r="J8" s="653">
        <v>0</v>
      </c>
      <c r="K8" s="653">
        <v>0</v>
      </c>
      <c r="L8" s="653">
        <v>0</v>
      </c>
      <c r="M8" s="653">
        <f>293065/1000</f>
        <v>293.065</v>
      </c>
      <c r="N8" s="653">
        <v>0</v>
      </c>
      <c r="O8" s="653">
        <v>0</v>
      </c>
      <c r="P8" s="653">
        <v>0</v>
      </c>
      <c r="Q8" s="653">
        <v>0</v>
      </c>
      <c r="R8" s="653">
        <v>0</v>
      </c>
      <c r="S8" s="653">
        <f>SUM(D8:R8)</f>
        <v>1209630.048</v>
      </c>
      <c r="T8" s="653">
        <f>+S8</f>
        <v>1209630.048</v>
      </c>
    </row>
    <row r="9" spans="2:20" x14ac:dyDescent="0.25">
      <c r="B9" s="656">
        <v>2</v>
      </c>
      <c r="C9" s="462" t="s">
        <v>751</v>
      </c>
      <c r="D9" s="247">
        <f>9590657/1000</f>
        <v>9590.6569999999992</v>
      </c>
      <c r="E9" s="248">
        <v>0</v>
      </c>
      <c r="F9" s="248">
        <v>0</v>
      </c>
      <c r="G9" s="248">
        <v>0</v>
      </c>
      <c r="H9" s="248">
        <v>0</v>
      </c>
      <c r="I9" s="248">
        <v>0</v>
      </c>
      <c r="J9" s="248">
        <v>0</v>
      </c>
      <c r="K9" s="248">
        <v>0</v>
      </c>
      <c r="L9" s="248">
        <v>0</v>
      </c>
      <c r="M9" s="248">
        <v>0</v>
      </c>
      <c r="N9" s="248">
        <v>0</v>
      </c>
      <c r="O9" s="248">
        <v>0</v>
      </c>
      <c r="P9" s="248">
        <v>0</v>
      </c>
      <c r="Q9" s="248">
        <v>0</v>
      </c>
      <c r="R9" s="248">
        <v>0</v>
      </c>
      <c r="S9" s="248">
        <f t="shared" ref="S9:S23" si="0">SUM(D9:R9)</f>
        <v>9590.6569999999992</v>
      </c>
      <c r="T9" s="248">
        <f>+S9</f>
        <v>9590.6569999999992</v>
      </c>
    </row>
    <row r="10" spans="2:20" x14ac:dyDescent="0.25">
      <c r="B10" s="656">
        <v>3</v>
      </c>
      <c r="C10" s="462" t="s">
        <v>752</v>
      </c>
      <c r="D10" s="247">
        <v>0</v>
      </c>
      <c r="E10" s="248">
        <v>0</v>
      </c>
      <c r="F10" s="248">
        <v>0</v>
      </c>
      <c r="G10" s="248">
        <v>0</v>
      </c>
      <c r="H10" s="248">
        <v>0</v>
      </c>
      <c r="I10" s="248">
        <v>0</v>
      </c>
      <c r="J10" s="248">
        <v>0</v>
      </c>
      <c r="K10" s="248">
        <v>0</v>
      </c>
      <c r="L10" s="248">
        <v>0</v>
      </c>
      <c r="M10" s="248">
        <v>0</v>
      </c>
      <c r="N10" s="248">
        <v>0</v>
      </c>
      <c r="O10" s="248">
        <v>0</v>
      </c>
      <c r="P10" s="248">
        <v>0</v>
      </c>
      <c r="Q10" s="248">
        <v>0</v>
      </c>
      <c r="R10" s="248">
        <v>0</v>
      </c>
      <c r="S10" s="248">
        <f t="shared" si="0"/>
        <v>0</v>
      </c>
      <c r="T10" s="248">
        <f>+S10</f>
        <v>0</v>
      </c>
    </row>
    <row r="11" spans="2:20" x14ac:dyDescent="0.25">
      <c r="B11" s="656">
        <v>4</v>
      </c>
      <c r="C11" s="462" t="s">
        <v>753</v>
      </c>
      <c r="D11" s="247">
        <v>0</v>
      </c>
      <c r="E11" s="248">
        <v>0</v>
      </c>
      <c r="F11" s="248">
        <v>0</v>
      </c>
      <c r="G11" s="248">
        <v>0</v>
      </c>
      <c r="H11" s="248">
        <v>0</v>
      </c>
      <c r="I11" s="248">
        <v>0</v>
      </c>
      <c r="J11" s="248">
        <v>0</v>
      </c>
      <c r="K11" s="248">
        <v>0</v>
      </c>
      <c r="L11" s="248">
        <v>0</v>
      </c>
      <c r="M11" s="248">
        <v>0</v>
      </c>
      <c r="N11" s="248">
        <v>0</v>
      </c>
      <c r="O11" s="248">
        <v>0</v>
      </c>
      <c r="P11" s="248">
        <v>0</v>
      </c>
      <c r="Q11" s="248">
        <v>0</v>
      </c>
      <c r="R11" s="248">
        <v>0</v>
      </c>
      <c r="S11" s="248">
        <f t="shared" si="0"/>
        <v>0</v>
      </c>
      <c r="T11" s="248">
        <f t="shared" ref="T11:T12" si="1">+S11</f>
        <v>0</v>
      </c>
    </row>
    <row r="12" spans="2:20" x14ac:dyDescent="0.25">
      <c r="B12" s="656">
        <v>5</v>
      </c>
      <c r="C12" s="462" t="s">
        <v>754</v>
      </c>
      <c r="D12" s="247">
        <v>0</v>
      </c>
      <c r="E12" s="248">
        <v>0</v>
      </c>
      <c r="F12" s="248">
        <v>0</v>
      </c>
      <c r="G12" s="248">
        <v>0</v>
      </c>
      <c r="H12" s="248">
        <v>0</v>
      </c>
      <c r="I12" s="248">
        <v>0</v>
      </c>
      <c r="J12" s="248">
        <v>0</v>
      </c>
      <c r="K12" s="248">
        <v>0</v>
      </c>
      <c r="L12" s="248">
        <v>0</v>
      </c>
      <c r="M12" s="248">
        <v>0</v>
      </c>
      <c r="N12" s="248">
        <v>0</v>
      </c>
      <c r="O12" s="248">
        <v>0</v>
      </c>
      <c r="P12" s="248">
        <v>0</v>
      </c>
      <c r="Q12" s="248">
        <v>0</v>
      </c>
      <c r="R12" s="248">
        <v>0</v>
      </c>
      <c r="S12" s="248">
        <f t="shared" si="0"/>
        <v>0</v>
      </c>
      <c r="T12" s="248">
        <f t="shared" si="1"/>
        <v>0</v>
      </c>
    </row>
    <row r="13" spans="2:20" x14ac:dyDescent="0.25">
      <c r="B13" s="656">
        <v>6</v>
      </c>
      <c r="C13" s="462" t="s">
        <v>481</v>
      </c>
      <c r="D13" s="247">
        <v>0</v>
      </c>
      <c r="E13" s="248">
        <v>0</v>
      </c>
      <c r="F13" s="248">
        <v>0</v>
      </c>
      <c r="G13" s="248">
        <v>0</v>
      </c>
      <c r="H13" s="248">
        <f>(208522415-6629947)/1000</f>
        <v>201892.46799999999</v>
      </c>
      <c r="I13" s="248">
        <v>0</v>
      </c>
      <c r="J13" s="248">
        <f>(24806541-398126)/1000</f>
        <v>24408.415000000001</v>
      </c>
      <c r="K13" s="248">
        <v>0</v>
      </c>
      <c r="L13" s="248">
        <v>0</v>
      </c>
      <c r="M13" s="248">
        <v>0</v>
      </c>
      <c r="N13" s="248">
        <v>0</v>
      </c>
      <c r="O13" s="248">
        <v>0</v>
      </c>
      <c r="P13" s="248">
        <v>0</v>
      </c>
      <c r="Q13" s="248">
        <v>0</v>
      </c>
      <c r="R13" s="248">
        <v>0</v>
      </c>
      <c r="S13" s="248">
        <f t="shared" si="0"/>
        <v>226300.883</v>
      </c>
      <c r="T13" s="248">
        <f>+S13-(50537076/1000)</f>
        <v>175763.807</v>
      </c>
    </row>
    <row r="14" spans="2:20" x14ac:dyDescent="0.25">
      <c r="B14" s="656">
        <v>7</v>
      </c>
      <c r="C14" s="462" t="s">
        <v>487</v>
      </c>
      <c r="D14" s="247">
        <v>0</v>
      </c>
      <c r="E14" s="248">
        <v>0</v>
      </c>
      <c r="F14" s="248">
        <v>0</v>
      </c>
      <c r="G14" s="248">
        <v>0</v>
      </c>
      <c r="H14" s="248">
        <v>0</v>
      </c>
      <c r="I14" s="248">
        <v>0</v>
      </c>
      <c r="J14" s="248">
        <v>0</v>
      </c>
      <c r="K14" s="248">
        <v>0</v>
      </c>
      <c r="L14" s="248">
        <v>0</v>
      </c>
      <c r="M14" s="248">
        <f>(1013535575-344084)/1000</f>
        <v>1013191.491</v>
      </c>
      <c r="N14" s="248">
        <v>0</v>
      </c>
      <c r="O14" s="248">
        <v>0</v>
      </c>
      <c r="P14" s="248">
        <v>0</v>
      </c>
      <c r="Q14" s="248">
        <v>0</v>
      </c>
      <c r="R14" s="248">
        <v>0</v>
      </c>
      <c r="S14" s="248">
        <f t="shared" si="0"/>
        <v>1013191.491</v>
      </c>
      <c r="T14" s="248">
        <f>+S14</f>
        <v>1013191.491</v>
      </c>
    </row>
    <row r="15" spans="2:20" x14ac:dyDescent="0.25">
      <c r="B15" s="656">
        <v>8</v>
      </c>
      <c r="C15" s="462" t="s">
        <v>485</v>
      </c>
      <c r="D15" s="247">
        <v>0</v>
      </c>
      <c r="E15" s="248">
        <v>0</v>
      </c>
      <c r="F15" s="248">
        <v>0</v>
      </c>
      <c r="G15" s="248">
        <v>0</v>
      </c>
      <c r="H15" s="248">
        <v>0</v>
      </c>
      <c r="I15" s="248">
        <v>0</v>
      </c>
      <c r="J15" s="248">
        <v>0</v>
      </c>
      <c r="K15" s="248">
        <v>0</v>
      </c>
      <c r="L15" s="248">
        <f>(1522084285-103301)/1000</f>
        <v>1521980.9839999999</v>
      </c>
      <c r="M15" s="248"/>
      <c r="N15" s="248"/>
      <c r="O15" s="248"/>
      <c r="P15" s="248"/>
      <c r="Q15" s="248"/>
      <c r="R15" s="248"/>
      <c r="S15" s="248">
        <f t="shared" si="0"/>
        <v>1521980.9839999999</v>
      </c>
      <c r="T15" s="248">
        <f t="shared" ref="T15:T23" si="2">+S15</f>
        <v>1521980.9839999999</v>
      </c>
    </row>
    <row r="16" spans="2:20" ht="30" x14ac:dyDescent="0.25">
      <c r="B16" s="656">
        <v>9</v>
      </c>
      <c r="C16" s="462" t="s">
        <v>767</v>
      </c>
      <c r="D16" s="247">
        <v>0</v>
      </c>
      <c r="E16" s="248">
        <v>0</v>
      </c>
      <c r="F16" s="248">
        <v>0</v>
      </c>
      <c r="G16" s="248">
        <v>0</v>
      </c>
      <c r="H16" s="248">
        <v>0</v>
      </c>
      <c r="I16" s="248">
        <f>1114175594/1000</f>
        <v>1114175.594</v>
      </c>
      <c r="J16" s="248">
        <f>382632079/1000</f>
        <v>382632.07900000003</v>
      </c>
      <c r="K16" s="248">
        <v>0</v>
      </c>
      <c r="L16" s="248">
        <v>0</v>
      </c>
      <c r="M16" s="248">
        <v>0</v>
      </c>
      <c r="N16" s="248">
        <v>0</v>
      </c>
      <c r="O16" s="248">
        <v>0</v>
      </c>
      <c r="P16" s="248">
        <v>0</v>
      </c>
      <c r="Q16" s="248">
        <v>0</v>
      </c>
      <c r="R16" s="248">
        <v>0</v>
      </c>
      <c r="S16" s="248">
        <f t="shared" si="0"/>
        <v>1496807.673</v>
      </c>
      <c r="T16" s="248">
        <f t="shared" si="2"/>
        <v>1496807.673</v>
      </c>
    </row>
    <row r="17" spans="2:20" x14ac:dyDescent="0.25">
      <c r="B17" s="656">
        <v>10</v>
      </c>
      <c r="C17" s="462" t="s">
        <v>489</v>
      </c>
      <c r="D17" s="247">
        <v>0</v>
      </c>
      <c r="E17" s="248">
        <v>0</v>
      </c>
      <c r="F17" s="248">
        <v>0</v>
      </c>
      <c r="G17" s="248">
        <v>0</v>
      </c>
      <c r="H17" s="248">
        <v>0</v>
      </c>
      <c r="I17" s="248">
        <v>0</v>
      </c>
      <c r="J17" s="248">
        <v>0</v>
      </c>
      <c r="K17" s="248">
        <v>0</v>
      </c>
      <c r="L17" s="248">
        <v>0</v>
      </c>
      <c r="M17" s="248">
        <f>80174777/1000</f>
        <v>80174.777000000002</v>
      </c>
      <c r="N17" s="248">
        <f>67436570/1000</f>
        <v>67436.570000000007</v>
      </c>
      <c r="O17" s="248">
        <v>0</v>
      </c>
      <c r="P17" s="248">
        <v>0</v>
      </c>
      <c r="Q17" s="248">
        <v>0</v>
      </c>
      <c r="R17" s="248">
        <v>0</v>
      </c>
      <c r="S17" s="248">
        <f t="shared" si="0"/>
        <v>147611.34700000001</v>
      </c>
      <c r="T17" s="248">
        <f t="shared" si="2"/>
        <v>147611.34700000001</v>
      </c>
    </row>
    <row r="18" spans="2:20" ht="30" x14ac:dyDescent="0.25">
      <c r="B18" s="656">
        <v>11</v>
      </c>
      <c r="C18" s="462" t="s">
        <v>756</v>
      </c>
      <c r="D18" s="247">
        <v>0</v>
      </c>
      <c r="E18" s="248">
        <v>0</v>
      </c>
      <c r="F18" s="248">
        <v>0</v>
      </c>
      <c r="G18" s="248">
        <v>0</v>
      </c>
      <c r="H18" s="248">
        <v>0</v>
      </c>
      <c r="I18" s="248">
        <v>0</v>
      </c>
      <c r="J18" s="248">
        <v>0</v>
      </c>
      <c r="K18" s="248">
        <v>0</v>
      </c>
      <c r="L18" s="248">
        <v>0</v>
      </c>
      <c r="M18" s="248">
        <v>0</v>
      </c>
      <c r="N18" s="248">
        <f>18564077/1000</f>
        <v>18564.077000000001</v>
      </c>
      <c r="O18" s="248">
        <v>0</v>
      </c>
      <c r="P18" s="248">
        <v>0</v>
      </c>
      <c r="Q18" s="248">
        <v>0</v>
      </c>
      <c r="R18" s="248">
        <v>0</v>
      </c>
      <c r="S18" s="248">
        <f t="shared" si="0"/>
        <v>18564.077000000001</v>
      </c>
      <c r="T18" s="248">
        <f t="shared" si="2"/>
        <v>18564.077000000001</v>
      </c>
    </row>
    <row r="19" spans="2:20" ht="30" x14ac:dyDescent="0.25">
      <c r="B19" s="656">
        <v>12</v>
      </c>
      <c r="C19" s="462" t="s">
        <v>475</v>
      </c>
      <c r="D19" s="247">
        <v>0</v>
      </c>
      <c r="E19" s="248">
        <v>0</v>
      </c>
      <c r="F19" s="248">
        <v>0</v>
      </c>
      <c r="G19" s="248">
        <v>0</v>
      </c>
      <c r="H19" s="248">
        <v>0</v>
      </c>
      <c r="I19" s="248">
        <v>0</v>
      </c>
      <c r="J19" s="248">
        <v>0</v>
      </c>
      <c r="K19" s="248">
        <v>0</v>
      </c>
      <c r="L19" s="248">
        <v>0</v>
      </c>
      <c r="M19" s="248">
        <v>0</v>
      </c>
      <c r="N19" s="248">
        <v>0</v>
      </c>
      <c r="O19" s="248">
        <v>0</v>
      </c>
      <c r="P19" s="248">
        <v>0</v>
      </c>
      <c r="Q19" s="248">
        <v>0</v>
      </c>
      <c r="R19" s="248">
        <v>0</v>
      </c>
      <c r="S19" s="248">
        <f t="shared" si="0"/>
        <v>0</v>
      </c>
      <c r="T19" s="248">
        <f t="shared" si="2"/>
        <v>0</v>
      </c>
    </row>
    <row r="20" spans="2:20" ht="30" x14ac:dyDescent="0.25">
      <c r="B20" s="656">
        <v>13</v>
      </c>
      <c r="C20" s="462" t="s">
        <v>768</v>
      </c>
      <c r="D20" s="247">
        <v>0</v>
      </c>
      <c r="E20" s="248">
        <v>0</v>
      </c>
      <c r="F20" s="248">
        <v>0</v>
      </c>
      <c r="G20" s="248">
        <v>0</v>
      </c>
      <c r="H20" s="248">
        <v>0</v>
      </c>
      <c r="I20" s="248">
        <v>0</v>
      </c>
      <c r="J20" s="248">
        <v>0</v>
      </c>
      <c r="K20" s="248">
        <v>0</v>
      </c>
      <c r="L20" s="248">
        <v>0</v>
      </c>
      <c r="M20" s="248">
        <v>0</v>
      </c>
      <c r="N20" s="248">
        <v>0</v>
      </c>
      <c r="O20" s="248">
        <v>0</v>
      </c>
      <c r="P20" s="248">
        <v>0</v>
      </c>
      <c r="Q20" s="248">
        <v>0</v>
      </c>
      <c r="R20" s="248">
        <v>0</v>
      </c>
      <c r="S20" s="248">
        <f t="shared" si="0"/>
        <v>0</v>
      </c>
      <c r="T20" s="248">
        <f t="shared" si="2"/>
        <v>0</v>
      </c>
    </row>
    <row r="21" spans="2:20" x14ac:dyDescent="0.25">
      <c r="B21" s="656">
        <v>14</v>
      </c>
      <c r="C21" s="462" t="s">
        <v>769</v>
      </c>
      <c r="D21" s="247">
        <v>0</v>
      </c>
      <c r="E21" s="248">
        <v>0</v>
      </c>
      <c r="F21" s="248">
        <v>0</v>
      </c>
      <c r="G21" s="248">
        <v>0</v>
      </c>
      <c r="H21" s="248">
        <v>0</v>
      </c>
      <c r="I21" s="248">
        <v>0</v>
      </c>
      <c r="J21" s="248">
        <v>0</v>
      </c>
      <c r="K21" s="248">
        <v>0</v>
      </c>
      <c r="L21" s="248">
        <v>0</v>
      </c>
      <c r="M21" s="248">
        <v>0</v>
      </c>
      <c r="N21" s="248">
        <v>0</v>
      </c>
      <c r="O21" s="248">
        <v>0</v>
      </c>
      <c r="P21" s="248">
        <v>0</v>
      </c>
      <c r="Q21" s="248">
        <v>0</v>
      </c>
      <c r="R21" s="248">
        <v>0</v>
      </c>
      <c r="S21" s="248">
        <f t="shared" si="0"/>
        <v>0</v>
      </c>
      <c r="T21" s="248">
        <f t="shared" si="2"/>
        <v>0</v>
      </c>
    </row>
    <row r="22" spans="2:20" x14ac:dyDescent="0.25">
      <c r="B22" s="656">
        <v>15</v>
      </c>
      <c r="C22" s="462" t="s">
        <v>770</v>
      </c>
      <c r="D22" s="247">
        <v>0</v>
      </c>
      <c r="E22" s="248">
        <v>0</v>
      </c>
      <c r="F22" s="248">
        <v>0</v>
      </c>
      <c r="G22" s="248">
        <v>0</v>
      </c>
      <c r="H22" s="248">
        <v>0</v>
      </c>
      <c r="I22" s="248">
        <v>0</v>
      </c>
      <c r="J22" s="248">
        <v>0</v>
      </c>
      <c r="K22" s="248">
        <v>0</v>
      </c>
      <c r="L22" s="248">
        <v>0</v>
      </c>
      <c r="M22" s="248">
        <f>133348186/1000</f>
        <v>133348.18599999999</v>
      </c>
      <c r="N22" s="248">
        <v>0</v>
      </c>
      <c r="O22" s="248">
        <f>50153025/1000</f>
        <v>50153.025000000001</v>
      </c>
      <c r="P22" s="248">
        <v>0</v>
      </c>
      <c r="Q22" s="248">
        <v>0</v>
      </c>
      <c r="R22" s="248">
        <v>0</v>
      </c>
      <c r="S22" s="248">
        <f t="shared" si="0"/>
        <v>183501.21099999998</v>
      </c>
      <c r="T22" s="248">
        <f t="shared" si="2"/>
        <v>183501.21099999998</v>
      </c>
    </row>
    <row r="23" spans="2:20" x14ac:dyDescent="0.25">
      <c r="B23" s="656">
        <v>16</v>
      </c>
      <c r="C23" s="462" t="s">
        <v>759</v>
      </c>
      <c r="D23" s="247">
        <f>4753394/1000</f>
        <v>4753.3940000000002</v>
      </c>
      <c r="E23" s="248">
        <v>0</v>
      </c>
      <c r="F23" s="248">
        <v>0</v>
      </c>
      <c r="G23" s="248">
        <v>0</v>
      </c>
      <c r="H23" s="248">
        <v>0</v>
      </c>
      <c r="I23" s="248">
        <v>0</v>
      </c>
      <c r="J23" s="248">
        <v>0</v>
      </c>
      <c r="K23" s="248">
        <v>0</v>
      </c>
      <c r="L23" s="248">
        <v>0</v>
      </c>
      <c r="M23" s="248">
        <f>226431916/1000</f>
        <v>226431.916</v>
      </c>
      <c r="N23" s="248">
        <v>0</v>
      </c>
      <c r="O23" s="248">
        <v>0</v>
      </c>
      <c r="P23" s="248">
        <v>0</v>
      </c>
      <c r="Q23" s="248">
        <v>0</v>
      </c>
      <c r="R23" s="248">
        <v>0</v>
      </c>
      <c r="S23" s="248">
        <f t="shared" si="0"/>
        <v>231185.31</v>
      </c>
      <c r="T23" s="248">
        <f t="shared" si="2"/>
        <v>231185.31</v>
      </c>
    </row>
    <row r="24" spans="2:20" x14ac:dyDescent="0.25">
      <c r="B24" s="459">
        <v>17</v>
      </c>
      <c r="C24" s="60" t="s">
        <v>760</v>
      </c>
      <c r="D24" s="247">
        <f>SUM(D8:D23)</f>
        <v>1223681.034</v>
      </c>
      <c r="E24" s="247">
        <f t="shared" ref="E24:R24" si="3">SUM(E8:E23)</f>
        <v>0</v>
      </c>
      <c r="F24" s="247">
        <f t="shared" si="3"/>
        <v>0</v>
      </c>
      <c r="G24" s="247">
        <f t="shared" si="3"/>
        <v>0</v>
      </c>
      <c r="H24" s="247">
        <f t="shared" si="3"/>
        <v>201892.46799999999</v>
      </c>
      <c r="I24" s="247">
        <f t="shared" si="3"/>
        <v>1114175.594</v>
      </c>
      <c r="J24" s="247">
        <f t="shared" si="3"/>
        <v>407040.49400000001</v>
      </c>
      <c r="K24" s="247">
        <f t="shared" si="3"/>
        <v>0</v>
      </c>
      <c r="L24" s="247">
        <f t="shared" si="3"/>
        <v>1521980.9839999999</v>
      </c>
      <c r="M24" s="247">
        <f t="shared" si="3"/>
        <v>1453439.4350000001</v>
      </c>
      <c r="N24" s="247">
        <f t="shared" si="3"/>
        <v>86000.647000000012</v>
      </c>
      <c r="O24" s="247">
        <f t="shared" si="3"/>
        <v>50153.025000000001</v>
      </c>
      <c r="P24" s="247">
        <f t="shared" si="3"/>
        <v>0</v>
      </c>
      <c r="Q24" s="247">
        <f t="shared" si="3"/>
        <v>0</v>
      </c>
      <c r="R24" s="247">
        <f t="shared" si="3"/>
        <v>0</v>
      </c>
      <c r="S24" s="248">
        <f>SUM(S8:S23)</f>
        <v>6058363.6809999989</v>
      </c>
      <c r="T24" s="248">
        <f>SUM(T8:T23)</f>
        <v>6007826.6049999995</v>
      </c>
    </row>
  </sheetData>
  <mergeCells count="4">
    <mergeCell ref="C5:C7"/>
    <mergeCell ref="D5:R5"/>
    <mergeCell ref="S5:S6"/>
    <mergeCell ref="T5:T6"/>
  </mergeCells>
  <hyperlinks>
    <hyperlink ref="B2" location="Indhold!B33" display="Skema CR5 — Standardmetode" xr:uid="{094F5897-5F73-47EC-B097-3ED5A81C9C78}"/>
  </hyperlinks>
  <pageMargins left="0.70866141732283472" right="0.70866141732283472" top="0.74803149606299213" bottom="0.74803149606299213" header="0.31496062992125984" footer="0.31496062992125984"/>
  <pageSetup paperSize="9" scale="73" orientation="landscape" r:id="rId1"/>
  <headerFooter>
    <oddHeader>&amp;CDA
Bilag 23</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8B85-C3BB-401F-9925-3076550953AB}">
  <sheetPr>
    <pageSetUpPr fitToPage="1"/>
  </sheetPr>
  <dimension ref="B2:E16"/>
  <sheetViews>
    <sheetView showGridLines="0" zoomScaleNormal="100" workbookViewId="0">
      <selection activeCell="B2" sqref="B2"/>
    </sheetView>
  </sheetViews>
  <sheetFormatPr defaultColWidth="9.140625" defaultRowHeight="15" x14ac:dyDescent="0.25"/>
  <cols>
    <col min="2" max="2" width="12.42578125" customWidth="1"/>
    <col min="3" max="3" width="79.42578125" customWidth="1"/>
    <col min="4" max="4" width="15.5703125" customWidth="1"/>
    <col min="5" max="5" width="18.7109375" customWidth="1"/>
  </cols>
  <sheetData>
    <row r="2" spans="2:5" x14ac:dyDescent="0.25">
      <c r="B2" s="878" t="s">
        <v>926</v>
      </c>
    </row>
    <row r="3" spans="2:5" x14ac:dyDescent="0.25">
      <c r="B3" s="325"/>
      <c r="D3" s="325"/>
      <c r="E3" s="325"/>
    </row>
    <row r="4" spans="2:5" x14ac:dyDescent="0.25">
      <c r="B4" s="325"/>
      <c r="D4" s="325"/>
      <c r="E4" s="325"/>
    </row>
    <row r="5" spans="2:5" ht="15.75" x14ac:dyDescent="0.25">
      <c r="B5" s="664"/>
      <c r="C5" s="665" t="s">
        <v>909</v>
      </c>
      <c r="D5" s="667" t="s">
        <v>105</v>
      </c>
      <c r="E5" s="667" t="s">
        <v>104</v>
      </c>
    </row>
    <row r="6" spans="2:5" x14ac:dyDescent="0.25">
      <c r="B6" s="668" t="s">
        <v>1431</v>
      </c>
      <c r="C6" s="1063"/>
      <c r="D6" s="1064" t="s">
        <v>1283</v>
      </c>
      <c r="E6" s="1064" t="s">
        <v>90</v>
      </c>
    </row>
    <row r="7" spans="2:5" ht="15" customHeight="1" x14ac:dyDescent="0.25">
      <c r="B7" s="664"/>
      <c r="C7" s="1063"/>
      <c r="D7" s="1065"/>
      <c r="E7" s="1065"/>
    </row>
    <row r="8" spans="2:5" x14ac:dyDescent="0.25">
      <c r="B8" s="554">
        <v>1</v>
      </c>
      <c r="C8" s="9" t="s">
        <v>927</v>
      </c>
      <c r="D8" s="669">
        <v>0</v>
      </c>
      <c r="E8" s="463">
        <v>0</v>
      </c>
    </row>
    <row r="9" spans="2:5" x14ac:dyDescent="0.25">
      <c r="B9" s="554">
        <v>2</v>
      </c>
      <c r="C9" s="9" t="s">
        <v>928</v>
      </c>
      <c r="D9" s="658"/>
      <c r="E9" s="61">
        <v>0</v>
      </c>
    </row>
    <row r="10" spans="2:5" ht="30" x14ac:dyDescent="0.25">
      <c r="B10" s="554">
        <v>3</v>
      </c>
      <c r="C10" s="9" t="s">
        <v>929</v>
      </c>
      <c r="D10" s="658"/>
      <c r="E10" s="61">
        <v>0</v>
      </c>
    </row>
    <row r="11" spans="2:5" x14ac:dyDescent="0.25">
      <c r="B11" s="554">
        <v>4</v>
      </c>
      <c r="C11" s="9" t="s">
        <v>930</v>
      </c>
      <c r="D11" s="61">
        <f>7028072/1000</f>
        <v>7028.0720000000001</v>
      </c>
      <c r="E11" s="61">
        <f>1989189/1000</f>
        <v>1989.1890000000001</v>
      </c>
    </row>
    <row r="12" spans="2:5" ht="30" x14ac:dyDescent="0.25">
      <c r="B12" s="670" t="s">
        <v>474</v>
      </c>
      <c r="C12" s="671" t="s">
        <v>1470</v>
      </c>
      <c r="D12" s="61">
        <v>0</v>
      </c>
      <c r="E12" s="61">
        <v>0</v>
      </c>
    </row>
    <row r="13" spans="2:5" ht="30" x14ac:dyDescent="0.25">
      <c r="B13" s="554">
        <v>5</v>
      </c>
      <c r="C13" s="5" t="s">
        <v>931</v>
      </c>
      <c r="D13" s="661">
        <f>7028072/1000</f>
        <v>7028.0720000000001</v>
      </c>
      <c r="E13" s="61">
        <f>1989189/1000</f>
        <v>1989.1890000000001</v>
      </c>
    </row>
    <row r="14" spans="2:5" x14ac:dyDescent="0.25">
      <c r="C14" s="1"/>
    </row>
    <row r="15" spans="2:5" x14ac:dyDescent="0.25">
      <c r="B15" s="321"/>
    </row>
    <row r="16" spans="2:5" x14ac:dyDescent="0.25">
      <c r="B16" s="321"/>
    </row>
  </sheetData>
  <mergeCells count="3">
    <mergeCell ref="C6:C7"/>
    <mergeCell ref="D6:D7"/>
    <mergeCell ref="E6:E7"/>
  </mergeCells>
  <hyperlinks>
    <hyperlink ref="B2" location="Indhold!B35" display="Skema EU CCR2 – Transaktioner underlagt kapitalgrundlagskrav for kreditværdijusteringsrisiko" xr:uid="{18C30A11-2E3A-4A8E-8CAF-4689046E057B}"/>
  </hyperlinks>
  <pageMargins left="0.70866141732283472" right="0.70866141732283472" top="0.74803149606299213" bottom="0.74803149606299213" header="0.31496062992125984" footer="0.31496062992125984"/>
  <pageSetup paperSize="9" scale="99" orientation="landscape" r:id="rId1"/>
  <headerFooter>
    <oddHeader>&amp;CDA
Bilag XXV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0C740-C826-4A7A-B9A5-C864C809D4E7}">
  <sheetPr>
    <pageSetUpPr fitToPage="1"/>
  </sheetPr>
  <dimension ref="B2:Q20"/>
  <sheetViews>
    <sheetView showGridLines="0" zoomScaleNormal="100" workbookViewId="0">
      <selection activeCell="B2" sqref="B2"/>
    </sheetView>
  </sheetViews>
  <sheetFormatPr defaultColWidth="9.140625" defaultRowHeight="15" x14ac:dyDescent="0.25"/>
  <cols>
    <col min="2" max="2" width="10.85546875" style="91" customWidth="1"/>
    <col min="3" max="3" width="56.7109375" customWidth="1"/>
    <col min="15" max="15" width="20.140625" style="1" customWidth="1"/>
  </cols>
  <sheetData>
    <row r="2" spans="2:17" x14ac:dyDescent="0.25">
      <c r="B2" s="878" t="s">
        <v>932</v>
      </c>
    </row>
    <row r="3" spans="2:17" ht="15.75" x14ac:dyDescent="0.25">
      <c r="B3" s="316" t="s">
        <v>909</v>
      </c>
    </row>
    <row r="4" spans="2:17" x14ac:dyDescent="0.25">
      <c r="B4" s="327"/>
    </row>
    <row r="5" spans="2:17" ht="20.100000000000001" customHeight="1" x14ac:dyDescent="0.25">
      <c r="B5" s="690"/>
      <c r="C5" s="1066" t="s">
        <v>933</v>
      </c>
      <c r="D5" s="1069" t="s">
        <v>762</v>
      </c>
      <c r="E5" s="1070"/>
      <c r="F5" s="1070"/>
      <c r="G5" s="1070"/>
      <c r="H5" s="1070"/>
      <c r="I5" s="1070"/>
      <c r="J5" s="1070"/>
      <c r="K5" s="1070"/>
      <c r="L5" s="1070"/>
      <c r="M5" s="1070"/>
      <c r="N5" s="1071"/>
      <c r="O5" s="552"/>
    </row>
    <row r="6" spans="2:17" ht="20.100000000000001" customHeight="1" x14ac:dyDescent="0.25">
      <c r="B6" s="690"/>
      <c r="C6" s="1067"/>
      <c r="D6" s="470" t="s">
        <v>105</v>
      </c>
      <c r="E6" s="470" t="s">
        <v>104</v>
      </c>
      <c r="F6" s="470" t="s">
        <v>99</v>
      </c>
      <c r="G6" s="470" t="s">
        <v>98</v>
      </c>
      <c r="H6" s="470" t="s">
        <v>97</v>
      </c>
      <c r="I6" s="470" t="s">
        <v>113</v>
      </c>
      <c r="J6" s="470" t="s">
        <v>114</v>
      </c>
      <c r="K6" s="470" t="s">
        <v>169</v>
      </c>
      <c r="L6" s="470" t="s">
        <v>328</v>
      </c>
      <c r="M6" s="470" t="s">
        <v>329</v>
      </c>
      <c r="N6" s="470" t="s">
        <v>330</v>
      </c>
      <c r="O6" s="470" t="s">
        <v>331</v>
      </c>
    </row>
    <row r="7" spans="2:17" ht="31.5" customHeight="1" x14ac:dyDescent="0.25">
      <c r="B7" s="692" t="s">
        <v>1431</v>
      </c>
      <c r="C7" s="1068"/>
      <c r="D7" s="691">
        <v>0</v>
      </c>
      <c r="E7" s="691">
        <v>0.02</v>
      </c>
      <c r="F7" s="691">
        <v>0.04</v>
      </c>
      <c r="G7" s="691">
        <v>0.1</v>
      </c>
      <c r="H7" s="691">
        <v>0.2</v>
      </c>
      <c r="I7" s="691">
        <v>0.5</v>
      </c>
      <c r="J7" s="691">
        <v>0.7</v>
      </c>
      <c r="K7" s="691">
        <v>0.75</v>
      </c>
      <c r="L7" s="691">
        <v>1</v>
      </c>
      <c r="M7" s="691">
        <v>1.5</v>
      </c>
      <c r="N7" s="470" t="s">
        <v>764</v>
      </c>
      <c r="O7" s="470" t="s">
        <v>1471</v>
      </c>
    </row>
    <row r="8" spans="2:17" ht="24" customHeight="1" x14ac:dyDescent="0.25">
      <c r="B8" s="656">
        <v>1</v>
      </c>
      <c r="C8" s="657" t="s">
        <v>811</v>
      </c>
      <c r="D8" s="463">
        <v>0</v>
      </c>
      <c r="E8" s="463">
        <v>0</v>
      </c>
      <c r="F8" s="463">
        <v>0</v>
      </c>
      <c r="G8" s="463">
        <v>0</v>
      </c>
      <c r="H8" s="463">
        <v>0</v>
      </c>
      <c r="I8" s="463">
        <v>0</v>
      </c>
      <c r="J8" s="463">
        <v>0</v>
      </c>
      <c r="K8" s="463">
        <v>0</v>
      </c>
      <c r="L8" s="463">
        <v>0</v>
      </c>
      <c r="M8" s="463">
        <v>0</v>
      </c>
      <c r="N8" s="463">
        <v>0</v>
      </c>
      <c r="O8" s="689">
        <f>SUM(D8:N8)</f>
        <v>0</v>
      </c>
    </row>
    <row r="9" spans="2:17" ht="20.100000000000001" customHeight="1" x14ac:dyDescent="0.25">
      <c r="B9" s="656">
        <v>2</v>
      </c>
      <c r="C9" s="554" t="s">
        <v>934</v>
      </c>
      <c r="D9" s="61">
        <v>0</v>
      </c>
      <c r="E9" s="61">
        <v>0</v>
      </c>
      <c r="F9" s="61">
        <v>0</v>
      </c>
      <c r="G9" s="61">
        <v>0</v>
      </c>
      <c r="H9" s="61">
        <v>0</v>
      </c>
      <c r="I9" s="61">
        <v>0</v>
      </c>
      <c r="J9" s="61">
        <v>0</v>
      </c>
      <c r="K9" s="61">
        <v>0</v>
      </c>
      <c r="L9" s="61">
        <v>0</v>
      </c>
      <c r="M9" s="61">
        <v>0</v>
      </c>
      <c r="N9" s="61">
        <v>0</v>
      </c>
      <c r="O9" s="3">
        <f t="shared" ref="O9:O17" si="0">SUM(D9:N9)</f>
        <v>0</v>
      </c>
    </row>
    <row r="10" spans="2:17" ht="20.100000000000001" customHeight="1" x14ac:dyDescent="0.25">
      <c r="B10" s="656">
        <v>3</v>
      </c>
      <c r="C10" s="554" t="s">
        <v>752</v>
      </c>
      <c r="D10" s="61">
        <v>0</v>
      </c>
      <c r="E10" s="61">
        <v>0</v>
      </c>
      <c r="F10" s="61">
        <v>0</v>
      </c>
      <c r="G10" s="61">
        <v>0</v>
      </c>
      <c r="H10" s="61">
        <v>0</v>
      </c>
      <c r="I10" s="61">
        <v>0</v>
      </c>
      <c r="J10" s="61">
        <v>0</v>
      </c>
      <c r="K10" s="61">
        <v>0</v>
      </c>
      <c r="L10" s="61">
        <v>0</v>
      </c>
      <c r="M10" s="61">
        <v>0</v>
      </c>
      <c r="N10" s="61">
        <v>0</v>
      </c>
      <c r="O10" s="3">
        <f t="shared" si="0"/>
        <v>0</v>
      </c>
    </row>
    <row r="11" spans="2:17" ht="20.100000000000001" customHeight="1" x14ac:dyDescent="0.25">
      <c r="B11" s="656">
        <v>4</v>
      </c>
      <c r="C11" s="554" t="s">
        <v>753</v>
      </c>
      <c r="D11" s="61">
        <v>0</v>
      </c>
      <c r="E11" s="61">
        <v>0</v>
      </c>
      <c r="F11" s="61">
        <v>0</v>
      </c>
      <c r="G11" s="61">
        <v>0</v>
      </c>
      <c r="H11" s="61">
        <v>0</v>
      </c>
      <c r="I11" s="61">
        <v>0</v>
      </c>
      <c r="J11" s="61">
        <v>0</v>
      </c>
      <c r="K11" s="61">
        <v>0</v>
      </c>
      <c r="L11" s="61">
        <v>0</v>
      </c>
      <c r="M11" s="61">
        <v>0</v>
      </c>
      <c r="N11" s="61">
        <v>0</v>
      </c>
      <c r="O11" s="3">
        <f t="shared" si="0"/>
        <v>0</v>
      </c>
    </row>
    <row r="12" spans="2:17" ht="20.100000000000001" customHeight="1" x14ac:dyDescent="0.25">
      <c r="B12" s="656">
        <v>5</v>
      </c>
      <c r="C12" s="554" t="s">
        <v>754</v>
      </c>
      <c r="D12" s="61">
        <v>0</v>
      </c>
      <c r="E12" s="61">
        <v>0</v>
      </c>
      <c r="F12" s="61">
        <v>0</v>
      </c>
      <c r="G12" s="61">
        <v>0</v>
      </c>
      <c r="H12" s="61">
        <v>0</v>
      </c>
      <c r="I12" s="61">
        <v>0</v>
      </c>
      <c r="J12" s="61">
        <v>0</v>
      </c>
      <c r="K12" s="61">
        <v>0</v>
      </c>
      <c r="L12" s="61">
        <v>0</v>
      </c>
      <c r="M12" s="61">
        <v>0</v>
      </c>
      <c r="N12" s="61">
        <v>0</v>
      </c>
      <c r="O12" s="3">
        <f t="shared" si="0"/>
        <v>0</v>
      </c>
    </row>
    <row r="13" spans="2:17" ht="20.100000000000001" customHeight="1" x14ac:dyDescent="0.25">
      <c r="B13" s="656">
        <v>6</v>
      </c>
      <c r="C13" s="554" t="s">
        <v>481</v>
      </c>
      <c r="D13" s="61">
        <v>0</v>
      </c>
      <c r="E13" s="61">
        <v>0</v>
      </c>
      <c r="F13" s="61">
        <v>0</v>
      </c>
      <c r="G13" s="61">
        <v>0</v>
      </c>
      <c r="H13" s="61">
        <f>6629947/1000</f>
        <v>6629.9470000000001</v>
      </c>
      <c r="I13" s="61">
        <f>398126/1000</f>
        <v>398.12599999999998</v>
      </c>
      <c r="J13" s="61">
        <v>0</v>
      </c>
      <c r="K13" s="61">
        <v>0</v>
      </c>
      <c r="L13" s="61">
        <v>0</v>
      </c>
      <c r="M13" s="61">
        <v>0</v>
      </c>
      <c r="N13" s="61">
        <v>0</v>
      </c>
      <c r="O13" s="3">
        <f t="shared" si="0"/>
        <v>7028.0730000000003</v>
      </c>
      <c r="Q13" s="26"/>
    </row>
    <row r="14" spans="2:17" ht="20.100000000000001" customHeight="1" x14ac:dyDescent="0.25">
      <c r="B14" s="656">
        <v>7</v>
      </c>
      <c r="C14" s="554" t="s">
        <v>487</v>
      </c>
      <c r="D14" s="61">
        <v>0</v>
      </c>
      <c r="E14" s="61">
        <v>0</v>
      </c>
      <c r="F14" s="61">
        <v>0</v>
      </c>
      <c r="G14" s="61">
        <v>0</v>
      </c>
      <c r="H14" s="61">
        <v>0</v>
      </c>
      <c r="I14" s="61">
        <v>0</v>
      </c>
      <c r="J14" s="61">
        <v>0</v>
      </c>
      <c r="K14" s="61">
        <v>0</v>
      </c>
      <c r="L14" s="61">
        <f>344084/1000</f>
        <v>344.084</v>
      </c>
      <c r="M14" s="61">
        <v>0</v>
      </c>
      <c r="N14" s="61">
        <v>0</v>
      </c>
      <c r="O14" s="3">
        <f t="shared" si="0"/>
        <v>344.084</v>
      </c>
    </row>
    <row r="15" spans="2:17" ht="20.100000000000001" customHeight="1" x14ac:dyDescent="0.25">
      <c r="B15" s="656">
        <v>8</v>
      </c>
      <c r="C15" s="554" t="s">
        <v>755</v>
      </c>
      <c r="D15" s="61">
        <v>0</v>
      </c>
      <c r="E15" s="61">
        <v>0</v>
      </c>
      <c r="F15" s="61">
        <v>0</v>
      </c>
      <c r="G15" s="61">
        <v>0</v>
      </c>
      <c r="H15" s="61">
        <v>0</v>
      </c>
      <c r="I15" s="61">
        <v>0</v>
      </c>
      <c r="J15" s="61">
        <v>0</v>
      </c>
      <c r="K15" s="61">
        <f>103301/1000</f>
        <v>103.301</v>
      </c>
      <c r="L15" s="61">
        <v>0</v>
      </c>
      <c r="M15" s="61">
        <v>0</v>
      </c>
      <c r="N15" s="61">
        <v>0</v>
      </c>
      <c r="O15" s="3">
        <f t="shared" si="0"/>
        <v>103.301</v>
      </c>
    </row>
    <row r="16" spans="2:17" ht="20.100000000000001" customHeight="1" x14ac:dyDescent="0.25">
      <c r="B16" s="656">
        <v>9</v>
      </c>
      <c r="C16" s="554" t="s">
        <v>757</v>
      </c>
      <c r="D16" s="61">
        <v>0</v>
      </c>
      <c r="E16" s="61">
        <v>0</v>
      </c>
      <c r="F16" s="61">
        <v>0</v>
      </c>
      <c r="G16" s="61">
        <v>0</v>
      </c>
      <c r="H16" s="61">
        <v>0</v>
      </c>
      <c r="I16" s="61">
        <v>0</v>
      </c>
      <c r="J16" s="61">
        <v>0</v>
      </c>
      <c r="K16" s="61">
        <v>0</v>
      </c>
      <c r="L16" s="61">
        <v>0</v>
      </c>
      <c r="M16" s="61">
        <v>0</v>
      </c>
      <c r="N16" s="61">
        <v>0</v>
      </c>
      <c r="O16" s="3">
        <f t="shared" si="0"/>
        <v>0</v>
      </c>
    </row>
    <row r="17" spans="2:15" ht="20.100000000000001" customHeight="1" x14ac:dyDescent="0.25">
      <c r="B17" s="656">
        <v>10</v>
      </c>
      <c r="C17" s="554" t="s">
        <v>759</v>
      </c>
      <c r="D17" s="61">
        <v>0</v>
      </c>
      <c r="E17" s="61">
        <v>0</v>
      </c>
      <c r="F17" s="61">
        <v>0</v>
      </c>
      <c r="G17" s="61">
        <v>0</v>
      </c>
      <c r="H17" s="61">
        <v>0</v>
      </c>
      <c r="I17" s="61">
        <v>0</v>
      </c>
      <c r="J17" s="61">
        <v>0</v>
      </c>
      <c r="K17" s="61">
        <v>0</v>
      </c>
      <c r="L17" s="61">
        <v>0</v>
      </c>
      <c r="M17" s="61">
        <v>0</v>
      </c>
      <c r="N17" s="61">
        <v>0</v>
      </c>
      <c r="O17" s="3">
        <f t="shared" si="0"/>
        <v>0</v>
      </c>
    </row>
    <row r="18" spans="2:15" ht="20.100000000000001" customHeight="1" x14ac:dyDescent="0.25">
      <c r="B18" s="656">
        <v>11</v>
      </c>
      <c r="C18" s="5" t="s">
        <v>336</v>
      </c>
      <c r="D18" s="61">
        <f>SUM(D8:D17)</f>
        <v>0</v>
      </c>
      <c r="E18" s="61">
        <f t="shared" ref="E18:O18" si="1">SUM(E8:E17)</f>
        <v>0</v>
      </c>
      <c r="F18" s="61">
        <f t="shared" si="1"/>
        <v>0</v>
      </c>
      <c r="G18" s="61">
        <f t="shared" si="1"/>
        <v>0</v>
      </c>
      <c r="H18" s="61">
        <f t="shared" si="1"/>
        <v>6629.9470000000001</v>
      </c>
      <c r="I18" s="61">
        <f t="shared" si="1"/>
        <v>398.12599999999998</v>
      </c>
      <c r="J18" s="61">
        <f t="shared" si="1"/>
        <v>0</v>
      </c>
      <c r="K18" s="61">
        <f t="shared" si="1"/>
        <v>103.301</v>
      </c>
      <c r="L18" s="61">
        <f t="shared" si="1"/>
        <v>344.084</v>
      </c>
      <c r="M18" s="61">
        <f t="shared" si="1"/>
        <v>0</v>
      </c>
      <c r="N18" s="61">
        <f t="shared" si="1"/>
        <v>0</v>
      </c>
      <c r="O18" s="61">
        <f t="shared" si="1"/>
        <v>7475.4580000000005</v>
      </c>
    </row>
    <row r="20" spans="2:15" x14ac:dyDescent="0.25">
      <c r="C20" s="26"/>
    </row>
  </sheetData>
  <mergeCells count="2">
    <mergeCell ref="C5:C7"/>
    <mergeCell ref="D5:N5"/>
  </mergeCells>
  <hyperlinks>
    <hyperlink ref="B2" location="Indhold!B36" display="Skema EU CCR3 — standardmetoden — modpartskreditrisikoeksponeringer efter eksponeringsklasse og risikovægte" xr:uid="{C7FD10E0-A32B-4A3A-A211-D648C1E760E1}"/>
  </hyperlinks>
  <pageMargins left="0.70866141732283472" right="0.70866141732283472" top="0.74803149606299213" bottom="0.74803149606299213" header="0.31496062992125984" footer="0.31496062992125984"/>
  <pageSetup paperSize="9" scale="70" orientation="landscape" r:id="rId1"/>
  <headerFooter>
    <oddHeader>&amp;CDA
Bilag XXV</oddHeader>
    <oddFooter>&amp;C&amp;P</oddFooter>
  </headerFooter>
  <ignoredErrors>
    <ignoredError sqref="D18:O18" formulaRang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95600-0C58-4190-AA13-B27575A00BF6}">
  <sheetPr>
    <pageSetUpPr fitToPage="1"/>
  </sheetPr>
  <dimension ref="B2:Q22"/>
  <sheetViews>
    <sheetView showGridLines="0" zoomScaleNormal="100" workbookViewId="0">
      <selection activeCell="B2" sqref="B2"/>
    </sheetView>
  </sheetViews>
  <sheetFormatPr defaultColWidth="11.42578125" defaultRowHeight="15" x14ac:dyDescent="0.25"/>
  <cols>
    <col min="1" max="1" width="11.42578125" style="673"/>
    <col min="2" max="2" width="6.7109375" style="673" customWidth="1"/>
    <col min="3" max="3" width="41.7109375" style="673" customWidth="1"/>
    <col min="4" max="4" width="22.7109375" style="673" customWidth="1"/>
    <col min="5" max="5" width="15.28515625" style="673" customWidth="1"/>
    <col min="6" max="6" width="11.42578125" style="673"/>
    <col min="7" max="7" width="50.85546875" style="673" customWidth="1"/>
    <col min="8" max="8" width="7.42578125" style="673" customWidth="1"/>
    <col min="9" max="9" width="42" style="673" customWidth="1"/>
    <col min="10" max="16384" width="11.42578125" style="673"/>
  </cols>
  <sheetData>
    <row r="2" spans="2:17" s="201" customFormat="1" ht="18.75" x14ac:dyDescent="0.3">
      <c r="B2" s="878" t="s">
        <v>1049</v>
      </c>
      <c r="C2" s="422"/>
      <c r="D2" s="422"/>
      <c r="E2" s="422"/>
      <c r="F2" s="422"/>
      <c r="G2" s="422"/>
      <c r="H2" s="422"/>
      <c r="I2" s="422"/>
      <c r="J2" s="422"/>
      <c r="K2" s="422"/>
      <c r="L2" s="422"/>
      <c r="M2" s="422"/>
      <c r="N2" s="422"/>
      <c r="O2" s="422"/>
      <c r="P2" s="422"/>
      <c r="Q2" s="422"/>
    </row>
    <row r="3" spans="2:17" s="201" customFormat="1" ht="15" customHeight="1" x14ac:dyDescent="0.3">
      <c r="B3" s="422"/>
      <c r="C3" s="422"/>
      <c r="D3" s="422"/>
      <c r="E3" s="422"/>
      <c r="F3" s="422"/>
      <c r="G3" s="422"/>
      <c r="H3" s="422"/>
      <c r="I3" s="422"/>
      <c r="J3" s="422"/>
      <c r="K3" s="422"/>
      <c r="L3" s="422"/>
      <c r="M3" s="422"/>
      <c r="N3" s="422"/>
      <c r="O3" s="422"/>
      <c r="P3" s="422"/>
      <c r="Q3" s="422"/>
    </row>
    <row r="4" spans="2:17" s="201" customFormat="1" ht="15" customHeight="1" x14ac:dyDescent="0.3">
      <c r="B4" s="422"/>
      <c r="C4" s="422"/>
      <c r="D4" s="422"/>
      <c r="E4" s="422"/>
      <c r="F4" s="422"/>
      <c r="G4" s="422"/>
      <c r="H4" s="422"/>
      <c r="I4" s="422"/>
      <c r="J4" s="422"/>
      <c r="K4" s="422"/>
      <c r="L4" s="422"/>
      <c r="M4" s="422"/>
      <c r="N4" s="422"/>
      <c r="O4" s="422"/>
      <c r="P4" s="422"/>
      <c r="Q4" s="422"/>
    </row>
    <row r="5" spans="2:17" x14ac:dyDescent="0.25">
      <c r="B5" s="728"/>
      <c r="C5" s="729"/>
      <c r="D5" s="471" t="s">
        <v>105</v>
      </c>
    </row>
    <row r="6" spans="2:17" ht="38.25" customHeight="1" x14ac:dyDescent="0.25">
      <c r="B6" s="1072" t="s">
        <v>1431</v>
      </c>
      <c r="C6" s="1013"/>
      <c r="D6" s="470" t="s">
        <v>1050</v>
      </c>
    </row>
    <row r="7" spans="2:17" x14ac:dyDescent="0.25">
      <c r="B7" s="706"/>
      <c r="C7" s="707" t="s">
        <v>1051</v>
      </c>
      <c r="D7" s="708"/>
      <c r="H7" s="704"/>
    </row>
    <row r="8" spans="2:17" ht="15.75" customHeight="1" x14ac:dyDescent="0.25">
      <c r="B8" s="696">
        <v>1</v>
      </c>
      <c r="C8" s="37" t="s">
        <v>1052</v>
      </c>
      <c r="D8" s="709">
        <f>(29996804*12.5)/1000</f>
        <v>374960.05</v>
      </c>
      <c r="H8" s="704"/>
    </row>
    <row r="9" spans="2:17" x14ac:dyDescent="0.25">
      <c r="B9" s="696">
        <v>2</v>
      </c>
      <c r="C9" s="37" t="s">
        <v>1053</v>
      </c>
      <c r="D9" s="709">
        <f>((3982538*12.5)+39553115)/1000</f>
        <v>89334.84</v>
      </c>
      <c r="H9" s="704"/>
    </row>
    <row r="10" spans="2:17" x14ac:dyDescent="0.25">
      <c r="B10" s="696">
        <v>3</v>
      </c>
      <c r="C10" s="37" t="s">
        <v>1054</v>
      </c>
      <c r="D10" s="709">
        <f>(933939*12.5)/1000</f>
        <v>11674.237499999999</v>
      </c>
      <c r="H10" s="704"/>
    </row>
    <row r="11" spans="2:17" x14ac:dyDescent="0.25">
      <c r="B11" s="696">
        <v>4</v>
      </c>
      <c r="C11" s="37" t="s">
        <v>1055</v>
      </c>
      <c r="D11" s="709">
        <v>0</v>
      </c>
    </row>
    <row r="12" spans="2:17" x14ac:dyDescent="0.25">
      <c r="B12" s="696"/>
      <c r="C12" s="101" t="s">
        <v>1056</v>
      </c>
      <c r="D12" s="710"/>
    </row>
    <row r="13" spans="2:17" x14ac:dyDescent="0.25">
      <c r="B13" s="696">
        <v>5</v>
      </c>
      <c r="C13" s="37" t="s">
        <v>1057</v>
      </c>
      <c r="D13" s="709">
        <v>0</v>
      </c>
    </row>
    <row r="14" spans="2:17" x14ac:dyDescent="0.25">
      <c r="B14" s="696">
        <v>6</v>
      </c>
      <c r="C14" s="37" t="s">
        <v>1058</v>
      </c>
      <c r="D14" s="709">
        <v>0</v>
      </c>
    </row>
    <row r="15" spans="2:17" x14ac:dyDescent="0.25">
      <c r="B15" s="696">
        <v>7</v>
      </c>
      <c r="C15" s="37" t="s">
        <v>1059</v>
      </c>
      <c r="D15" s="709">
        <v>0</v>
      </c>
    </row>
    <row r="16" spans="2:17" x14ac:dyDescent="0.25">
      <c r="B16" s="696">
        <v>8</v>
      </c>
      <c r="C16" s="30" t="s">
        <v>1472</v>
      </c>
      <c r="D16" s="709">
        <v>0</v>
      </c>
    </row>
    <row r="17" spans="2:4" x14ac:dyDescent="0.25">
      <c r="B17" s="696">
        <v>9</v>
      </c>
      <c r="C17" s="101" t="s">
        <v>0</v>
      </c>
      <c r="D17" s="709">
        <f>SUM(D8:D16)</f>
        <v>475969.1275</v>
      </c>
    </row>
    <row r="19" spans="2:4" x14ac:dyDescent="0.25">
      <c r="D19" s="705"/>
    </row>
    <row r="21" spans="2:4" ht="50.25" customHeight="1" x14ac:dyDescent="0.25"/>
    <row r="22" spans="2:4" ht="50.25" customHeight="1" x14ac:dyDescent="0.25"/>
  </sheetData>
  <mergeCells count="1">
    <mergeCell ref="B6:C6"/>
  </mergeCells>
  <hyperlinks>
    <hyperlink ref="B2" location="Indhold!B38" display="Skema EU MR1 - Markedsrisiko i henhold til standardmetoden" xr:uid="{15640792-C4B4-4068-A965-5B8EF86EF330}"/>
  </hyperlinks>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5B18-DE1B-4E0C-A021-D358211D6E46}">
  <dimension ref="B1:Q12"/>
  <sheetViews>
    <sheetView showGridLines="0" zoomScaleNormal="100" workbookViewId="0">
      <selection activeCell="B2" sqref="B2"/>
    </sheetView>
  </sheetViews>
  <sheetFormatPr defaultColWidth="9.140625" defaultRowHeight="15" x14ac:dyDescent="0.25"/>
  <cols>
    <col min="1" max="1" width="9.140625" style="40"/>
    <col min="2" max="2" width="11.28515625" style="40" customWidth="1"/>
    <col min="3" max="3" width="43.7109375" style="40" customWidth="1"/>
    <col min="4" max="6" width="22.28515625" style="40" customWidth="1"/>
    <col min="7" max="9" width="22.28515625" style="40" hidden="1" customWidth="1"/>
    <col min="10" max="11" width="22.28515625" style="40" customWidth="1"/>
    <col min="12" max="12" width="9.140625" style="40"/>
    <col min="13" max="13" width="13.140625" style="719" customWidth="1"/>
    <col min="14" max="14" width="52.42578125" style="40" customWidth="1"/>
    <col min="15" max="16384" width="9.140625" style="40"/>
  </cols>
  <sheetData>
    <row r="1" spans="2:17" x14ac:dyDescent="0.25">
      <c r="B1" s="372"/>
      <c r="C1" s="720"/>
      <c r="D1" s="720"/>
      <c r="E1" s="720"/>
      <c r="F1" s="720"/>
      <c r="G1" s="720"/>
      <c r="H1" s="720"/>
      <c r="I1" s="720"/>
      <c r="J1" s="720"/>
      <c r="K1" s="720"/>
      <c r="L1" s="720"/>
    </row>
    <row r="2" spans="2:17" s="721" customFormat="1" ht="18.75" x14ac:dyDescent="0.3">
      <c r="B2" s="878" t="s">
        <v>1110</v>
      </c>
      <c r="C2" s="422"/>
      <c r="D2" s="422"/>
      <c r="E2" s="422"/>
      <c r="F2" s="422"/>
      <c r="G2" s="422"/>
      <c r="H2" s="422"/>
      <c r="I2" s="422"/>
      <c r="J2" s="422"/>
      <c r="K2" s="422"/>
      <c r="L2" s="422"/>
      <c r="M2" s="422"/>
      <c r="N2" s="422"/>
      <c r="O2" s="422"/>
      <c r="P2" s="422"/>
      <c r="Q2" s="422"/>
    </row>
    <row r="3" spans="2:17" s="721" customFormat="1" x14ac:dyDescent="0.25"/>
    <row r="4" spans="2:17" s="721" customFormat="1" x14ac:dyDescent="0.25">
      <c r="B4" s="40"/>
    </row>
    <row r="5" spans="2:17" ht="13.5" customHeight="1" x14ac:dyDescent="0.25">
      <c r="B5" s="1081" t="s">
        <v>1431</v>
      </c>
      <c r="C5" s="1078" t="s">
        <v>1111</v>
      </c>
      <c r="D5" s="711" t="s">
        <v>105</v>
      </c>
      <c r="E5" s="711" t="s">
        <v>104</v>
      </c>
      <c r="F5" s="711" t="s">
        <v>99</v>
      </c>
      <c r="G5" s="711" t="s">
        <v>593</v>
      </c>
      <c r="H5" s="711" t="s">
        <v>595</v>
      </c>
      <c r="I5" s="711"/>
      <c r="J5" s="711" t="s">
        <v>98</v>
      </c>
      <c r="K5" s="712" t="s">
        <v>97</v>
      </c>
    </row>
    <row r="6" spans="2:17" ht="15" customHeight="1" x14ac:dyDescent="0.25">
      <c r="B6" s="1082"/>
      <c r="C6" s="1079"/>
      <c r="D6" s="1073" t="s">
        <v>1112</v>
      </c>
      <c r="E6" s="1074"/>
      <c r="F6" s="1075"/>
      <c r="G6" s="713" t="s">
        <v>1113</v>
      </c>
      <c r="H6" s="714" t="s">
        <v>1114</v>
      </c>
      <c r="I6" s="715"/>
      <c r="J6" s="1076" t="s">
        <v>337</v>
      </c>
      <c r="K6" s="1076" t="s">
        <v>102</v>
      </c>
    </row>
    <row r="7" spans="2:17" x14ac:dyDescent="0.25">
      <c r="B7" s="1083"/>
      <c r="C7" s="1080"/>
      <c r="D7" s="711" t="s">
        <v>1115</v>
      </c>
      <c r="E7" s="711" t="s">
        <v>1116</v>
      </c>
      <c r="F7" s="711" t="s">
        <v>1117</v>
      </c>
      <c r="G7" s="716" t="s">
        <v>1118</v>
      </c>
      <c r="H7" s="717"/>
      <c r="I7" s="718"/>
      <c r="J7" s="1077"/>
      <c r="K7" s="1077"/>
    </row>
    <row r="8" spans="2:17" ht="38.25" customHeight="1" x14ac:dyDescent="0.25">
      <c r="B8" s="461">
        <v>1</v>
      </c>
      <c r="C8" s="373" t="s">
        <v>1119</v>
      </c>
      <c r="D8" s="504">
        <f>262721529/1000</f>
        <v>262721.52899999998</v>
      </c>
      <c r="E8" s="504">
        <f>286084208/1000</f>
        <v>286084.20799999998</v>
      </c>
      <c r="F8" s="504">
        <f>264694086/1000</f>
        <v>264694.08600000001</v>
      </c>
      <c r="G8" s="374"/>
      <c r="H8" s="374"/>
      <c r="I8" s="374"/>
      <c r="J8" s="504">
        <f>40674991/1000</f>
        <v>40674.991000000002</v>
      </c>
      <c r="K8" s="504">
        <f>508437389/1000</f>
        <v>508437.38900000002</v>
      </c>
    </row>
    <row r="9" spans="2:17" ht="30" x14ac:dyDescent="0.25">
      <c r="B9" s="461">
        <v>2</v>
      </c>
      <c r="C9" s="375" t="s">
        <v>1120</v>
      </c>
      <c r="D9" s="374">
        <v>0</v>
      </c>
      <c r="E9" s="374">
        <v>0</v>
      </c>
      <c r="F9" s="374">
        <v>0</v>
      </c>
      <c r="G9" s="374"/>
      <c r="H9" s="374"/>
      <c r="I9" s="374"/>
      <c r="J9" s="374">
        <v>0</v>
      </c>
      <c r="K9" s="374">
        <v>0</v>
      </c>
    </row>
    <row r="10" spans="2:17" ht="38.25" customHeight="1" x14ac:dyDescent="0.25">
      <c r="B10" s="461">
        <v>3</v>
      </c>
      <c r="C10" s="722" t="s">
        <v>1121</v>
      </c>
      <c r="D10" s="374">
        <v>0</v>
      </c>
      <c r="E10" s="374">
        <v>0</v>
      </c>
      <c r="F10" s="374">
        <v>0</v>
      </c>
      <c r="G10" s="374"/>
      <c r="H10" s="374"/>
      <c r="I10" s="374"/>
      <c r="J10" s="376"/>
      <c r="K10" s="377"/>
    </row>
    <row r="11" spans="2:17" ht="38.25" customHeight="1" x14ac:dyDescent="0.25">
      <c r="B11" s="461">
        <v>4</v>
      </c>
      <c r="C11" s="722" t="s">
        <v>1122</v>
      </c>
      <c r="D11" s="374">
        <v>0</v>
      </c>
      <c r="E11" s="374">
        <v>0</v>
      </c>
      <c r="F11" s="374">
        <v>0</v>
      </c>
      <c r="G11" s="723"/>
      <c r="H11" s="508"/>
      <c r="I11" s="508"/>
      <c r="J11" s="376"/>
      <c r="K11" s="377"/>
    </row>
    <row r="12" spans="2:17" ht="38.25" customHeight="1" x14ac:dyDescent="0.25">
      <c r="B12" s="378">
        <v>5</v>
      </c>
      <c r="C12" s="373" t="s">
        <v>1123</v>
      </c>
      <c r="D12" s="374">
        <v>0</v>
      </c>
      <c r="E12" s="374">
        <v>0</v>
      </c>
      <c r="F12" s="374">
        <v>0</v>
      </c>
      <c r="G12" s="508"/>
      <c r="H12" s="508"/>
      <c r="I12" s="508"/>
      <c r="J12" s="374">
        <v>0</v>
      </c>
      <c r="K12" s="374">
        <v>0</v>
      </c>
    </row>
  </sheetData>
  <mergeCells count="5">
    <mergeCell ref="D6:F6"/>
    <mergeCell ref="J6:J7"/>
    <mergeCell ref="K6:K7"/>
    <mergeCell ref="C5:C7"/>
    <mergeCell ref="B5:B7"/>
  </mergeCells>
  <hyperlinks>
    <hyperlink ref="B2" location="Indhold!B40" display=" Skema EU OR1 - Kapitalgrundlagskrav for operationel risiko og risikovægtede eksponeringer" xr:uid="{52888D4C-8B95-4C55-996F-D3D0C8E008D3}"/>
  </hyperlink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04DA-9310-4309-9060-407904CFC219}">
  <dimension ref="B2:K89"/>
  <sheetViews>
    <sheetView showGridLines="0" workbookViewId="0"/>
  </sheetViews>
  <sheetFormatPr defaultRowHeight="15" x14ac:dyDescent="0.25"/>
  <cols>
    <col min="2" max="2" width="9.5703125" bestFit="1" customWidth="1"/>
    <col min="3" max="3" width="106.28515625" customWidth="1"/>
  </cols>
  <sheetData>
    <row r="2" spans="2:9" ht="18.75" x14ac:dyDescent="0.3">
      <c r="B2" s="446"/>
      <c r="C2" s="779" t="s">
        <v>1251</v>
      </c>
      <c r="D2" s="780" t="s">
        <v>1250</v>
      </c>
      <c r="E2" s="446"/>
    </row>
    <row r="3" spans="2:9" x14ac:dyDescent="0.25">
      <c r="B3" s="296"/>
      <c r="C3" s="781" t="s">
        <v>1497</v>
      </c>
      <c r="D3" s="781"/>
      <c r="E3" s="782"/>
    </row>
    <row r="4" spans="2:9" x14ac:dyDescent="0.25">
      <c r="B4" s="783" t="s">
        <v>1291</v>
      </c>
      <c r="C4" s="784" t="s">
        <v>1359</v>
      </c>
      <c r="D4" s="785">
        <v>1</v>
      </c>
      <c r="E4" s="786"/>
    </row>
    <row r="5" spans="2:9" x14ac:dyDescent="0.25">
      <c r="B5" s="295" t="s">
        <v>1292</v>
      </c>
      <c r="C5" s="787" t="s">
        <v>1360</v>
      </c>
      <c r="D5" s="788">
        <v>2</v>
      </c>
      <c r="E5" s="789"/>
    </row>
    <row r="6" spans="2:9" x14ac:dyDescent="0.25">
      <c r="B6" s="296"/>
      <c r="C6" s="781" t="s">
        <v>1445</v>
      </c>
      <c r="D6" s="781"/>
      <c r="E6" s="782"/>
    </row>
    <row r="7" spans="2:9" ht="30" x14ac:dyDescent="0.25">
      <c r="B7" s="829" t="s">
        <v>1295</v>
      </c>
      <c r="C7" s="790" t="s">
        <v>1363</v>
      </c>
      <c r="D7" s="785">
        <v>3</v>
      </c>
      <c r="E7" s="791"/>
    </row>
    <row r="8" spans="2:9" x14ac:dyDescent="0.25">
      <c r="B8" s="792" t="s">
        <v>1296</v>
      </c>
      <c r="C8" s="793" t="s">
        <v>1364</v>
      </c>
      <c r="D8" s="794">
        <v>4</v>
      </c>
      <c r="E8" s="795"/>
    </row>
    <row r="9" spans="2:9" x14ac:dyDescent="0.25">
      <c r="B9" s="295" t="s">
        <v>1297</v>
      </c>
      <c r="C9" s="797" t="s">
        <v>1365</v>
      </c>
      <c r="D9" s="788">
        <v>5</v>
      </c>
      <c r="E9" s="789"/>
      <c r="I9" s="420"/>
    </row>
    <row r="10" spans="2:9" x14ac:dyDescent="0.25">
      <c r="B10" s="296"/>
      <c r="C10" s="781" t="s">
        <v>544</v>
      </c>
      <c r="D10" s="798"/>
      <c r="E10" s="782"/>
    </row>
    <row r="11" spans="2:9" x14ac:dyDescent="0.25">
      <c r="B11" s="783" t="s">
        <v>1299</v>
      </c>
      <c r="C11" s="799" t="s">
        <v>1367</v>
      </c>
      <c r="D11" s="785">
        <v>6</v>
      </c>
      <c r="E11" s="786"/>
    </row>
    <row r="12" spans="2:9" x14ac:dyDescent="0.25">
      <c r="B12" s="295" t="s">
        <v>1300</v>
      </c>
      <c r="C12" s="797" t="s">
        <v>1368</v>
      </c>
      <c r="D12" s="788">
        <v>7</v>
      </c>
      <c r="E12" s="789"/>
    </row>
    <row r="13" spans="2:9" x14ac:dyDescent="0.25">
      <c r="B13" s="296"/>
      <c r="C13" s="800" t="s">
        <v>63</v>
      </c>
      <c r="D13" s="798"/>
      <c r="E13" s="782"/>
    </row>
    <row r="14" spans="2:9" x14ac:dyDescent="0.25">
      <c r="B14" s="783" t="s">
        <v>1303</v>
      </c>
      <c r="C14" s="790" t="s">
        <v>1371</v>
      </c>
      <c r="D14" s="785">
        <v>8</v>
      </c>
      <c r="E14" s="786"/>
    </row>
    <row r="15" spans="2:9" x14ac:dyDescent="0.25">
      <c r="B15" s="792" t="s">
        <v>1304</v>
      </c>
      <c r="C15" s="796" t="s">
        <v>1372</v>
      </c>
      <c r="D15" s="794">
        <v>9</v>
      </c>
      <c r="E15" s="795"/>
    </row>
    <row r="16" spans="2:9" x14ac:dyDescent="0.25">
      <c r="B16" s="295" t="s">
        <v>1305</v>
      </c>
      <c r="C16" s="801" t="s">
        <v>1373</v>
      </c>
      <c r="D16" s="788">
        <v>10</v>
      </c>
      <c r="E16" s="789"/>
    </row>
    <row r="17" spans="2:9" x14ac:dyDescent="0.25">
      <c r="B17" s="296"/>
      <c r="C17" s="781" t="s">
        <v>1446</v>
      </c>
      <c r="D17" s="798"/>
      <c r="E17" s="782"/>
    </row>
    <row r="18" spans="2:9" x14ac:dyDescent="0.25">
      <c r="B18" s="783" t="s">
        <v>1306</v>
      </c>
      <c r="C18" s="799" t="s">
        <v>1374</v>
      </c>
      <c r="D18" s="785">
        <v>11</v>
      </c>
      <c r="E18" s="786"/>
      <c r="I18" s="420"/>
    </row>
    <row r="19" spans="2:9" x14ac:dyDescent="0.25">
      <c r="B19" s="295" t="s">
        <v>1307</v>
      </c>
      <c r="C19" s="797" t="s">
        <v>1375</v>
      </c>
      <c r="D19" s="788">
        <v>12</v>
      </c>
      <c r="E19" s="789"/>
    </row>
    <row r="20" spans="2:9" x14ac:dyDescent="0.25">
      <c r="B20" s="295"/>
      <c r="C20" s="781" t="s">
        <v>1513</v>
      </c>
      <c r="D20" s="788"/>
      <c r="E20" s="789"/>
    </row>
    <row r="21" spans="2:9" x14ac:dyDescent="0.25">
      <c r="B21" s="792" t="s">
        <v>1302</v>
      </c>
      <c r="C21" s="796" t="s">
        <v>1370</v>
      </c>
      <c r="D21" s="794">
        <v>13</v>
      </c>
      <c r="E21" s="795"/>
    </row>
    <row r="22" spans="2:9" x14ac:dyDescent="0.25">
      <c r="B22" s="296"/>
      <c r="C22" s="781" t="s">
        <v>1447</v>
      </c>
      <c r="D22" s="798"/>
      <c r="E22" s="782"/>
    </row>
    <row r="23" spans="2:9" x14ac:dyDescent="0.25">
      <c r="B23" s="783" t="s">
        <v>1308</v>
      </c>
      <c r="C23" s="799" t="s">
        <v>1376</v>
      </c>
      <c r="D23" s="785">
        <v>14</v>
      </c>
      <c r="E23" s="786"/>
    </row>
    <row r="24" spans="2:9" x14ac:dyDescent="0.25">
      <c r="B24" s="792" t="s">
        <v>1309</v>
      </c>
      <c r="C24" s="796" t="s">
        <v>1377</v>
      </c>
      <c r="D24" s="794">
        <v>15</v>
      </c>
      <c r="E24" s="795"/>
    </row>
    <row r="25" spans="2:9" x14ac:dyDescent="0.25">
      <c r="B25" s="792" t="s">
        <v>1310</v>
      </c>
      <c r="C25" s="796" t="s">
        <v>1378</v>
      </c>
      <c r="D25" s="794">
        <v>16</v>
      </c>
      <c r="E25" s="795"/>
    </row>
    <row r="26" spans="2:9" x14ac:dyDescent="0.25">
      <c r="B26" s="792" t="s">
        <v>1312</v>
      </c>
      <c r="C26" s="796" t="s">
        <v>1380</v>
      </c>
      <c r="D26" s="794">
        <v>17</v>
      </c>
      <c r="E26" s="795"/>
    </row>
    <row r="27" spans="2:9" x14ac:dyDescent="0.25">
      <c r="B27" s="792" t="s">
        <v>1314</v>
      </c>
      <c r="C27" s="796" t="s">
        <v>1382</v>
      </c>
      <c r="D27" s="794">
        <v>18</v>
      </c>
      <c r="E27" s="795"/>
    </row>
    <row r="28" spans="2:9" x14ac:dyDescent="0.25">
      <c r="B28" s="792" t="s">
        <v>1316</v>
      </c>
      <c r="C28" s="802" t="s">
        <v>1384</v>
      </c>
      <c r="D28" s="794">
        <v>19</v>
      </c>
      <c r="E28" s="795"/>
    </row>
    <row r="29" spans="2:9" x14ac:dyDescent="0.25">
      <c r="B29" s="296"/>
      <c r="C29" s="781" t="s">
        <v>1448</v>
      </c>
      <c r="D29" s="781"/>
      <c r="E29" s="782"/>
    </row>
    <row r="30" spans="2:9" x14ac:dyDescent="0.25">
      <c r="B30" s="296" t="s">
        <v>1320</v>
      </c>
      <c r="C30" s="803" t="s">
        <v>1388</v>
      </c>
      <c r="D30" s="798">
        <v>20</v>
      </c>
      <c r="E30" s="782"/>
    </row>
    <row r="31" spans="2:9" x14ac:dyDescent="0.25">
      <c r="B31" s="296" t="s">
        <v>1321</v>
      </c>
      <c r="C31" s="781" t="s">
        <v>1449</v>
      </c>
      <c r="D31" s="781"/>
      <c r="E31" s="782"/>
    </row>
    <row r="32" spans="2:9" x14ac:dyDescent="0.25">
      <c r="B32" s="783" t="s">
        <v>1322</v>
      </c>
      <c r="C32" s="790" t="s">
        <v>1389</v>
      </c>
      <c r="D32" s="785">
        <v>21</v>
      </c>
      <c r="E32" s="786"/>
    </row>
    <row r="33" spans="2:9" x14ac:dyDescent="0.25">
      <c r="B33" s="295" t="s">
        <v>1323</v>
      </c>
      <c r="C33" s="39" t="s">
        <v>1390</v>
      </c>
      <c r="D33" s="788">
        <v>22</v>
      </c>
      <c r="E33" s="789"/>
    </row>
    <row r="34" spans="2:9" x14ac:dyDescent="0.25">
      <c r="B34" s="296" t="s">
        <v>1321</v>
      </c>
      <c r="C34" s="781" t="s">
        <v>1450</v>
      </c>
      <c r="D34" s="781"/>
      <c r="E34" s="782"/>
    </row>
    <row r="35" spans="2:9" x14ac:dyDescent="0.25">
      <c r="B35" s="792" t="s">
        <v>1333</v>
      </c>
      <c r="C35" s="802" t="s">
        <v>1400</v>
      </c>
      <c r="D35" s="794">
        <v>23</v>
      </c>
      <c r="E35" s="795"/>
    </row>
    <row r="36" spans="2:9" x14ac:dyDescent="0.25">
      <c r="B36" s="792" t="s">
        <v>1334</v>
      </c>
      <c r="C36" s="793" t="s">
        <v>1401</v>
      </c>
      <c r="D36" s="794">
        <v>24</v>
      </c>
      <c r="E36" s="795"/>
    </row>
    <row r="37" spans="2:9" x14ac:dyDescent="0.25">
      <c r="B37" s="806" t="s">
        <v>1321</v>
      </c>
      <c r="C37" s="807" t="s">
        <v>1451</v>
      </c>
      <c r="D37" s="807"/>
      <c r="E37" s="808"/>
    </row>
    <row r="38" spans="2:9" x14ac:dyDescent="0.25">
      <c r="B38" s="296" t="s">
        <v>1345</v>
      </c>
      <c r="C38" s="805" t="s">
        <v>1412</v>
      </c>
      <c r="D38" s="798">
        <v>25</v>
      </c>
      <c r="E38" s="782"/>
      <c r="I38" s="420"/>
    </row>
    <row r="39" spans="2:9" x14ac:dyDescent="0.25">
      <c r="B39" s="806" t="s">
        <v>1321</v>
      </c>
      <c r="C39" s="807" t="s">
        <v>198</v>
      </c>
      <c r="D39" s="807"/>
      <c r="E39" s="808"/>
    </row>
    <row r="40" spans="2:9" x14ac:dyDescent="0.25">
      <c r="B40" s="296" t="s">
        <v>1350</v>
      </c>
      <c r="C40" s="805" t="s">
        <v>1417</v>
      </c>
      <c r="D40" s="798">
        <v>26</v>
      </c>
      <c r="E40" s="782"/>
    </row>
    <row r="41" spans="2:9" x14ac:dyDescent="0.25">
      <c r="B41" s="296" t="s">
        <v>1321</v>
      </c>
      <c r="C41" s="781" t="s">
        <v>1452</v>
      </c>
      <c r="D41" s="798"/>
      <c r="E41" s="782"/>
    </row>
    <row r="42" spans="2:9" x14ac:dyDescent="0.25">
      <c r="B42" s="783" t="s">
        <v>1351</v>
      </c>
      <c r="C42" s="804" t="s">
        <v>1418</v>
      </c>
      <c r="D42" s="785">
        <v>27</v>
      </c>
      <c r="E42" s="786"/>
    </row>
    <row r="43" spans="2:9" ht="30" x14ac:dyDescent="0.25">
      <c r="B43" s="295" t="s">
        <v>1355</v>
      </c>
      <c r="C43" s="801" t="s">
        <v>1422</v>
      </c>
      <c r="D43" s="788">
        <v>28</v>
      </c>
      <c r="E43" s="789"/>
    </row>
    <row r="44" spans="2:9" x14ac:dyDescent="0.25">
      <c r="B44" s="296" t="s">
        <v>1321</v>
      </c>
      <c r="C44" s="781" t="s">
        <v>1423</v>
      </c>
      <c r="D44" s="781"/>
      <c r="E44" s="782"/>
    </row>
    <row r="45" spans="2:9" x14ac:dyDescent="0.25">
      <c r="B45" s="296" t="s">
        <v>1356</v>
      </c>
      <c r="C45" s="805" t="s">
        <v>1423</v>
      </c>
      <c r="D45" s="798">
        <v>29</v>
      </c>
      <c r="E45" s="782"/>
    </row>
    <row r="49" spans="2:11" x14ac:dyDescent="0.25">
      <c r="B49" s="809" t="s">
        <v>1502</v>
      </c>
      <c r="C49" s="446"/>
      <c r="D49" s="446"/>
      <c r="E49" s="446"/>
    </row>
    <row r="50" spans="2:11" x14ac:dyDescent="0.25">
      <c r="B50" s="792" t="s">
        <v>1318</v>
      </c>
      <c r="C50" s="802" t="s">
        <v>1386</v>
      </c>
      <c r="D50" s="794">
        <v>30</v>
      </c>
      <c r="E50" s="795"/>
    </row>
    <row r="51" spans="2:11" x14ac:dyDescent="0.25">
      <c r="B51" s="792" t="s">
        <v>1332</v>
      </c>
      <c r="C51" s="802" t="s">
        <v>1399</v>
      </c>
      <c r="D51" s="794">
        <v>31</v>
      </c>
      <c r="E51" s="795"/>
      <c r="H51" s="420"/>
      <c r="K51" s="420"/>
    </row>
    <row r="52" spans="2:11" x14ac:dyDescent="0.25">
      <c r="B52" s="792" t="s">
        <v>1336</v>
      </c>
      <c r="C52" s="802" t="s">
        <v>1403</v>
      </c>
      <c r="D52" s="794">
        <v>32</v>
      </c>
      <c r="E52" s="795"/>
    </row>
    <row r="53" spans="2:11" x14ac:dyDescent="0.25">
      <c r="B53" s="792" t="s">
        <v>1337</v>
      </c>
      <c r="C53" s="802" t="s">
        <v>1404</v>
      </c>
      <c r="D53" s="794">
        <v>33</v>
      </c>
      <c r="E53" s="795"/>
    </row>
    <row r="54" spans="2:11" x14ac:dyDescent="0.25">
      <c r="B54" s="792" t="s">
        <v>1339</v>
      </c>
      <c r="C54" s="802" t="s">
        <v>1406</v>
      </c>
      <c r="D54" s="794">
        <v>34</v>
      </c>
      <c r="E54" s="795"/>
    </row>
    <row r="55" spans="2:11" x14ac:dyDescent="0.25">
      <c r="B55" s="792" t="s">
        <v>1340</v>
      </c>
      <c r="C55" s="802" t="s">
        <v>1407</v>
      </c>
      <c r="D55" s="794">
        <v>35</v>
      </c>
      <c r="E55" s="795"/>
    </row>
    <row r="56" spans="2:11" x14ac:dyDescent="0.25">
      <c r="B56" s="792" t="s">
        <v>1341</v>
      </c>
      <c r="C56" s="802" t="s">
        <v>1408</v>
      </c>
      <c r="D56" s="794">
        <v>36</v>
      </c>
      <c r="E56" s="795"/>
    </row>
    <row r="57" spans="2:11" ht="30" x14ac:dyDescent="0.25">
      <c r="B57" s="792" t="s">
        <v>1342</v>
      </c>
      <c r="C57" s="793" t="s">
        <v>1409</v>
      </c>
      <c r="D57" s="794">
        <v>37</v>
      </c>
      <c r="E57" s="795"/>
    </row>
    <row r="58" spans="2:11" ht="30" x14ac:dyDescent="0.25">
      <c r="B58" s="792" t="s">
        <v>1343</v>
      </c>
      <c r="C58" s="793" t="s">
        <v>1410</v>
      </c>
      <c r="D58" s="794">
        <v>38</v>
      </c>
      <c r="E58" s="795"/>
    </row>
    <row r="59" spans="2:11" x14ac:dyDescent="0.25">
      <c r="B59" s="792" t="s">
        <v>1344</v>
      </c>
      <c r="C59" s="793" t="s">
        <v>1411</v>
      </c>
      <c r="D59" s="794">
        <v>39</v>
      </c>
      <c r="E59" s="795"/>
    </row>
    <row r="60" spans="2:11" ht="30" customHeight="1" x14ac:dyDescent="0.25">
      <c r="B60" s="834" t="s">
        <v>1352</v>
      </c>
      <c r="C60" s="793" t="s">
        <v>1419</v>
      </c>
      <c r="D60" s="794">
        <v>40</v>
      </c>
      <c r="E60" s="795"/>
    </row>
    <row r="61" spans="2:11" x14ac:dyDescent="0.25">
      <c r="B61" s="792" t="s">
        <v>1353</v>
      </c>
      <c r="C61" s="802" t="s">
        <v>1420</v>
      </c>
      <c r="D61" s="794">
        <v>41</v>
      </c>
      <c r="E61" s="795"/>
    </row>
    <row r="62" spans="2:11" x14ac:dyDescent="0.25">
      <c r="B62" s="792" t="s">
        <v>1354</v>
      </c>
      <c r="C62" s="802" t="s">
        <v>1421</v>
      </c>
      <c r="D62" s="794">
        <v>42</v>
      </c>
      <c r="E62" s="795"/>
    </row>
    <row r="63" spans="2:11" x14ac:dyDescent="0.25">
      <c r="B63" s="792" t="s">
        <v>1357</v>
      </c>
      <c r="C63" s="802" t="s">
        <v>1424</v>
      </c>
      <c r="D63" s="794">
        <v>43</v>
      </c>
      <c r="E63" s="795"/>
    </row>
    <row r="64" spans="2:11" x14ac:dyDescent="0.25">
      <c r="B64" s="295" t="s">
        <v>1358</v>
      </c>
      <c r="C64" s="39" t="s">
        <v>1425</v>
      </c>
      <c r="D64" s="788">
        <v>44</v>
      </c>
      <c r="E64" s="789"/>
    </row>
    <row r="66" spans="2:5" x14ac:dyDescent="0.25">
      <c r="B66" s="830" t="s">
        <v>1432</v>
      </c>
      <c r="C66" s="831"/>
      <c r="D66" s="831"/>
      <c r="E66" s="832"/>
    </row>
    <row r="67" spans="2:5" x14ac:dyDescent="0.25">
      <c r="B67" s="792" t="s">
        <v>1293</v>
      </c>
      <c r="C67" s="833" t="s">
        <v>1361</v>
      </c>
      <c r="D67" s="794" t="s">
        <v>111</v>
      </c>
      <c r="E67" s="795"/>
    </row>
    <row r="68" spans="2:5" x14ac:dyDescent="0.25">
      <c r="B68" s="792" t="s">
        <v>1294</v>
      </c>
      <c r="C68" s="833" t="s">
        <v>1362</v>
      </c>
      <c r="D68" s="794" t="s">
        <v>111</v>
      </c>
      <c r="E68" s="795"/>
    </row>
    <row r="69" spans="2:5" x14ac:dyDescent="0.25">
      <c r="B69" s="792" t="s">
        <v>1298</v>
      </c>
      <c r="C69" s="796" t="s">
        <v>1366</v>
      </c>
      <c r="D69" s="794" t="s">
        <v>111</v>
      </c>
      <c r="E69" s="795"/>
    </row>
    <row r="70" spans="2:5" ht="19.5" customHeight="1" x14ac:dyDescent="0.25">
      <c r="B70" s="792" t="s">
        <v>1301</v>
      </c>
      <c r="C70" s="793" t="s">
        <v>1369</v>
      </c>
      <c r="D70" s="794" t="s">
        <v>111</v>
      </c>
      <c r="E70" s="795"/>
    </row>
    <row r="71" spans="2:5" ht="14.25" customHeight="1" x14ac:dyDescent="0.25">
      <c r="B71" s="792" t="s">
        <v>1311</v>
      </c>
      <c r="C71" s="793" t="s">
        <v>1379</v>
      </c>
      <c r="D71" s="794" t="s">
        <v>111</v>
      </c>
      <c r="E71" s="795"/>
    </row>
    <row r="72" spans="2:5" x14ac:dyDescent="0.25">
      <c r="B72" s="792" t="s">
        <v>1313</v>
      </c>
      <c r="C72" s="796" t="s">
        <v>1381</v>
      </c>
      <c r="D72" s="794" t="s">
        <v>111</v>
      </c>
      <c r="E72" s="795"/>
    </row>
    <row r="73" spans="2:5" x14ac:dyDescent="0.25">
      <c r="B73" s="792" t="s">
        <v>1315</v>
      </c>
      <c r="C73" s="796" t="s">
        <v>1383</v>
      </c>
      <c r="D73" s="794" t="s">
        <v>111</v>
      </c>
      <c r="E73" s="795"/>
    </row>
    <row r="74" spans="2:5" x14ac:dyDescent="0.25">
      <c r="B74" s="792" t="s">
        <v>1317</v>
      </c>
      <c r="C74" s="802" t="s">
        <v>1385</v>
      </c>
      <c r="D74" s="794" t="s">
        <v>111</v>
      </c>
      <c r="E74" s="795"/>
    </row>
    <row r="75" spans="2:5" x14ac:dyDescent="0.25">
      <c r="B75" s="792" t="s">
        <v>1319</v>
      </c>
      <c r="C75" s="793" t="s">
        <v>1387</v>
      </c>
      <c r="D75" s="794" t="s">
        <v>111</v>
      </c>
      <c r="E75" s="795"/>
    </row>
    <row r="76" spans="2:5" x14ac:dyDescent="0.25">
      <c r="B76" s="792" t="s">
        <v>1324</v>
      </c>
      <c r="C76" s="802" t="s">
        <v>1391</v>
      </c>
      <c r="D76" s="794" t="s">
        <v>111</v>
      </c>
      <c r="E76" s="795"/>
    </row>
    <row r="77" spans="2:5" x14ac:dyDescent="0.25">
      <c r="B77" s="792" t="s">
        <v>1325</v>
      </c>
      <c r="C77" s="802" t="s">
        <v>1392</v>
      </c>
      <c r="D77" s="794" t="s">
        <v>111</v>
      </c>
      <c r="E77" s="795"/>
    </row>
    <row r="78" spans="2:5" ht="30" customHeight="1" x14ac:dyDescent="0.25">
      <c r="B78" s="792" t="s">
        <v>1326</v>
      </c>
      <c r="C78" s="793" t="s">
        <v>1393</v>
      </c>
      <c r="D78" s="794" t="s">
        <v>111</v>
      </c>
      <c r="E78" s="795"/>
    </row>
    <row r="79" spans="2:5" x14ac:dyDescent="0.25">
      <c r="B79" s="792" t="s">
        <v>1327</v>
      </c>
      <c r="C79" s="793" t="s">
        <v>1394</v>
      </c>
      <c r="D79" s="794" t="s">
        <v>111</v>
      </c>
      <c r="E79" s="795"/>
    </row>
    <row r="80" spans="2:5" x14ac:dyDescent="0.25">
      <c r="B80" s="792" t="s">
        <v>1328</v>
      </c>
      <c r="C80" s="802" t="s">
        <v>1395</v>
      </c>
      <c r="D80" s="794" t="s">
        <v>111</v>
      </c>
      <c r="E80" s="795"/>
    </row>
    <row r="81" spans="2:5" x14ac:dyDescent="0.25">
      <c r="B81" s="792" t="s">
        <v>1329</v>
      </c>
      <c r="C81" s="802" t="s">
        <v>1396</v>
      </c>
      <c r="D81" s="794" t="s">
        <v>111</v>
      </c>
      <c r="E81" s="795"/>
    </row>
    <row r="82" spans="2:5" ht="30" customHeight="1" x14ac:dyDescent="0.25">
      <c r="B82" s="792" t="s">
        <v>1330</v>
      </c>
      <c r="C82" s="793" t="s">
        <v>1397</v>
      </c>
      <c r="D82" s="794" t="s">
        <v>111</v>
      </c>
      <c r="E82" s="795"/>
    </row>
    <row r="83" spans="2:5" x14ac:dyDescent="0.25">
      <c r="B83" s="792" t="s">
        <v>1331</v>
      </c>
      <c r="C83" s="793" t="s">
        <v>1398</v>
      </c>
      <c r="D83" s="794" t="s">
        <v>111</v>
      </c>
      <c r="E83" s="795"/>
    </row>
    <row r="84" spans="2:5" x14ac:dyDescent="0.25">
      <c r="B84" s="792" t="s">
        <v>1335</v>
      </c>
      <c r="C84" s="793" t="s">
        <v>1402</v>
      </c>
      <c r="D84" s="794" t="s">
        <v>111</v>
      </c>
      <c r="E84" s="795"/>
    </row>
    <row r="85" spans="2:5" x14ac:dyDescent="0.25">
      <c r="B85" s="792" t="s">
        <v>1338</v>
      </c>
      <c r="C85" s="802" t="s">
        <v>1405</v>
      </c>
      <c r="D85" s="794" t="s">
        <v>111</v>
      </c>
      <c r="E85" s="795"/>
    </row>
    <row r="86" spans="2:5" x14ac:dyDescent="0.25">
      <c r="B86" s="792" t="s">
        <v>1346</v>
      </c>
      <c r="C86" s="802" t="s">
        <v>1413</v>
      </c>
      <c r="D86" s="794" t="s">
        <v>111</v>
      </c>
      <c r="E86" s="795"/>
    </row>
    <row r="87" spans="2:5" x14ac:dyDescent="0.25">
      <c r="B87" s="792" t="s">
        <v>1347</v>
      </c>
      <c r="C87" s="802" t="s">
        <v>1414</v>
      </c>
      <c r="D87" s="794" t="s">
        <v>111</v>
      </c>
      <c r="E87" s="795"/>
    </row>
    <row r="88" spans="2:5" x14ac:dyDescent="0.25">
      <c r="B88" s="792" t="s">
        <v>1348</v>
      </c>
      <c r="C88" s="802" t="s">
        <v>1415</v>
      </c>
      <c r="D88" s="794" t="s">
        <v>111</v>
      </c>
      <c r="E88" s="795"/>
    </row>
    <row r="89" spans="2:5" x14ac:dyDescent="0.25">
      <c r="B89" s="295" t="s">
        <v>1349</v>
      </c>
      <c r="C89" s="39" t="s">
        <v>1416</v>
      </c>
      <c r="D89" s="788" t="s">
        <v>111</v>
      </c>
      <c r="E89" s="789"/>
    </row>
  </sheetData>
  <hyperlinks>
    <hyperlink ref="D4" location="'1'!A1" display="'1'!A1" xr:uid="{1AF086C4-6D0B-4E11-890A-00EE8A79951F}"/>
    <hyperlink ref="D5" location="'2'!A1" display="'2'!A1" xr:uid="{1A15DBAC-D760-4C0E-AB12-2D1B6755FB24}"/>
    <hyperlink ref="D7" location="'3'!A1" display="'3'!A1" xr:uid="{32B3C1A1-295E-40EC-9EF2-F9D4A4F5472A}"/>
    <hyperlink ref="D8" location="'4'!A1" display="'4'!A1" xr:uid="{6DFE0BA1-D475-4053-BA3B-9196A360DFE2}"/>
    <hyperlink ref="D9" location="'5'!A1" display="'5'!A1" xr:uid="{66E1AB48-E741-4A21-BDE7-CDC62B9DA5CE}"/>
    <hyperlink ref="D67" location="'EU INS1'!A1" display="N/A" xr:uid="{6B199075-0A66-474E-88E5-A3D115C43E7F}"/>
    <hyperlink ref="D68" location="'EU INS2'!A1" display="N/A" xr:uid="{C546D968-3ABC-4C97-9E26-9E0992883AF3}"/>
    <hyperlink ref="D11" location="'6'!A1" display="'6'!A1" xr:uid="{04056AFD-C4D4-47F4-8FB5-421DDF5A4CA7}"/>
    <hyperlink ref="D12" location="'7'!A1" display="'7'!A1" xr:uid="{9464EEEA-4555-4B15-A08F-4137B2BEC115}"/>
    <hyperlink ref="D70" location="'EU CCyB1'!A1" display="N/A" xr:uid="{B8AD7A9D-1D36-43DF-8ACB-3D006B9BEB0A}"/>
    <hyperlink ref="D14" location="'8'!A1" display="'8'!A1" xr:uid="{AD1E259B-CE1F-4409-8A21-C92A6DAC0C56}"/>
    <hyperlink ref="D15" location="'9'!A1" display="'9'!A1" xr:uid="{C5BE0E0D-5D8E-4FF9-A4DA-022E98394AFB}"/>
    <hyperlink ref="D16" location="'10'!A1" display="'10'!A1" xr:uid="{69DC3340-FD3F-4274-9CA4-3444A0033267}"/>
    <hyperlink ref="D18" location="'11'!A1" display="'11'!A1" xr:uid="{3D7BF880-EDA2-4C67-84BF-65EC06FB27A4}"/>
    <hyperlink ref="D19" location="'12'!A1" display="'12'!A1" xr:uid="{56341BA1-703B-4CC5-ACE0-DC093DD08FAC}"/>
    <hyperlink ref="D23" location="'14'!A1" display="'14'!A1" xr:uid="{0AFC9E3D-9B05-4147-95FC-5F1113054A41}"/>
    <hyperlink ref="D24" location="'15'!A1" display="'15'!A1" xr:uid="{8FEFA364-1C43-4678-88CF-50C8BE6AC4CB}"/>
    <hyperlink ref="D25" location="'16'!A1" display="'16'!A1" xr:uid="{EA472CBE-10B2-4FED-882B-3A2C8CBA526A}"/>
    <hyperlink ref="D71" location="'Skema EU CR2a'!A1" display="'Skema EU CR2a'!A1" xr:uid="{C0DBFCC9-D722-49ED-B707-3B2C12D093CB}"/>
    <hyperlink ref="D26" location="'17'!A1" display="'17'!A1" xr:uid="{024CE935-DD88-44F9-8BD9-9DD3797C7C97}"/>
    <hyperlink ref="D72" location="'Skema EU CQ2'!A1" display="'Skema EU CQ2'!A1" xr:uid="{D6F6F507-1725-4D8B-8D1A-01ADC4C1876E}"/>
    <hyperlink ref="D27" location="'18'!A1" display="'18'!A1" xr:uid="{76ABBB50-CC7D-42EC-BBB6-C0B81D446DA8}"/>
    <hyperlink ref="D73" location="'Skema EU CQ4'!A1" display="'Skema EU CQ4'!A1" xr:uid="{0C1B2BD0-5127-4332-A333-6A946A04C897}"/>
    <hyperlink ref="D28" location="'19'!A1" display="'19'!A1" xr:uid="{59CC8A26-140D-4189-982E-F8734A0ED295}"/>
    <hyperlink ref="D74" location="'Skema EU CQ6'!A1" display="'Skema EU CQ6'!A1" xr:uid="{E3F34009-805B-47C0-80FA-4FBA1A2AB0E1}"/>
    <hyperlink ref="D50" location="'30'!A1" display="'30'!A1" xr:uid="{8B0889BF-4AD9-4704-9AF5-8E7FE83E3EE5}"/>
    <hyperlink ref="D75" location="'Skema EU CQ8'!A1" display="'Skema EU CQ8'!A1" xr:uid="{D397B70F-7BEA-488B-A016-CA6E8225B781}"/>
    <hyperlink ref="D30" location="'20'!A1" display="'20'!A1" xr:uid="{470E8083-6423-4D75-9D7C-4CE859A6A63D}"/>
    <hyperlink ref="D32" location="'21'!A1" display="'21'!A1" xr:uid="{698A5D94-6D6F-4CF8-96A7-B97B449519D1}"/>
    <hyperlink ref="D33" location="'22'!A1" display="'22'!A1" xr:uid="{15154B45-8D55-4BAE-92E4-C2D7B960A077}"/>
    <hyperlink ref="D76" location="'EU CR6'!A1" display="N/A" xr:uid="{76D91008-1BA7-4E3B-9E48-5B9CA27263AD}"/>
    <hyperlink ref="D77" location="'EU CR6-A'!A1" display="N/A" xr:uid="{B0E71C6B-5903-414C-9992-3CF0FA631490}"/>
    <hyperlink ref="D78" location="'EU CR7'!A1" display="N/A" xr:uid="{17D80C03-88FB-46E6-B122-2DC0147F04F6}"/>
    <hyperlink ref="D79" location="'EU CR7-A'!A1" display="N/A" xr:uid="{FE5A6640-DCFE-4BB3-B069-A570E2623494}"/>
    <hyperlink ref="D80" location="'EU CR8'!A1" display="N/A" xr:uid="{DE95ECCE-E7A8-476C-A980-DB47E4EB2831}"/>
    <hyperlink ref="D81" location="'EU CR9'!A1" display="N/A" xr:uid="{08A4EB5D-60B8-4000-A031-FCD89BF02725}"/>
    <hyperlink ref="D82" location="'EU CR9.1'!A1" display="N/A" xr:uid="{354AC1D6-7A1D-4AD1-8FE0-135365C3297F}"/>
    <hyperlink ref="D83" location="'EU CR10 '!A1" display="N/A" xr:uid="{B2942A9D-7AE1-42CA-8E49-B30DF14D5459}"/>
    <hyperlink ref="D35" location="'23'!A1" display="'23'!A1" xr:uid="{944772DE-5CDA-45C1-83E7-C3B3C9868E10}"/>
    <hyperlink ref="D36" location="'24'!A1" display="'24'!A1" xr:uid="{6883383C-D190-4A9C-9419-3CD7C6083C80}"/>
    <hyperlink ref="D84" location="'Skema EU CCR4'!A1" display="N/A" xr:uid="{4C5961EC-15F7-4D38-88E0-D5C3BA2BB59F}"/>
    <hyperlink ref="D52" location="'32'!A1" display="'32'!A1" xr:uid="{0369E3EA-F8CC-486E-889E-AED80753D8AA}"/>
    <hyperlink ref="D53" location="'33'!A1" display="'33'!A1" xr:uid="{05DC5CC7-F175-49A8-A317-F5C7509D3DA3}"/>
    <hyperlink ref="D54" location="'34'!A1" display="'34'!A1" xr:uid="{1B5C78E1-34D2-412C-8E92-AC34A45008C1}"/>
    <hyperlink ref="D55" location="'35'!A1" display="'35'!A1" xr:uid="{F90BFEE6-C5CD-4D09-AEFF-A2DEB82C579E}"/>
    <hyperlink ref="D56" location="'36'!A1" display="'36'!A1" xr:uid="{E5BA7859-34AD-4CCE-AC5F-F3F685B98311}"/>
    <hyperlink ref="D57" location="'37'!A1" display="'37'!A1" xr:uid="{D47BB981-B2AD-411F-A633-49CA8935F29D}"/>
    <hyperlink ref="D58" location="'38'!A1" display="'38'!A1" xr:uid="{093ADCB8-09FB-409E-A7BB-939638283A09}"/>
    <hyperlink ref="D59" location="'39'!A1" display="'39'!A1" xr:uid="{CA120686-D15A-4F8A-98E8-6060C5AD006E}"/>
    <hyperlink ref="D38" location="'25'!A1" display="'25'!A1" xr:uid="{45F59A0A-DCE3-4657-96D8-8A93E22189D8}"/>
    <hyperlink ref="D40" location="'26'!A1" display="'26'!A1" xr:uid="{B025CDD8-5F2D-4A77-B823-7D7F3AF6683C}"/>
    <hyperlink ref="D42" location="'27'!A1" display="'27'!A1" xr:uid="{54CCF898-7DF1-4B20-9CA4-6CA8DC1D91F4}"/>
    <hyperlink ref="D60" location="'40'!A1" display="'40'!A1" xr:uid="{424E4334-2E54-41C9-A734-2DE10EC0E46F}"/>
    <hyperlink ref="D61" location="'41'!A1" display="'41'!A1" xr:uid="{04335861-ACC2-4EC1-B72C-77E0238734FA}"/>
    <hyperlink ref="D62" location="'42'!A1" display="'42'!A1" xr:uid="{B7F8CEA2-0AD7-430F-8AAD-C75FA2B0181A}"/>
    <hyperlink ref="D43" location="'28'!A1" display="'28'!A1" xr:uid="{672A9AD7-D20C-4E78-A10E-97A9CEA2F3BF}"/>
    <hyperlink ref="D45" location="'29'!A1" display="'29'!A1" xr:uid="{C0B812DE-7A05-4691-90BC-AC65E127D940}"/>
    <hyperlink ref="D63" location="'43'!A1" display="'43'!A1" xr:uid="{73368018-C286-4D28-B152-49A4C117A236}"/>
    <hyperlink ref="D64" location="'44'!A1" display="'44'!A1" xr:uid="{34ED87A3-0668-4614-88A8-A7497B9B1202}"/>
    <hyperlink ref="D51" location="'31'!A1" display="'31'!A1" xr:uid="{BDB3A013-3CE1-4248-AA43-0567669E4E87}"/>
    <hyperlink ref="D69" location="'Skema EU PV1'!A1" display="N/A" xr:uid="{398ED472-D4B6-44F1-A78A-4D139A4B9DC5}"/>
    <hyperlink ref="D85:D89" location="'Skema EU CCR4'!A1" display="N/A" xr:uid="{DD79EDB6-A736-4D20-881B-75CC92DAAEBF}"/>
    <hyperlink ref="D85" location="'Skema EU CCR7'!A1" display="N/A" xr:uid="{90E65507-5AEE-4570-AB48-907765D1D927}"/>
    <hyperlink ref="D21" location="'13'!A1" display="'13'!A1" xr:uid="{DAC03BC2-3817-4D60-972D-E3742495D976}"/>
    <hyperlink ref="D86" location="'EU MR2-A'!A1" display="N/A" xr:uid="{A05A6142-728D-43C2-BB12-4ECD5ABA37F2}"/>
    <hyperlink ref="D87" location="'EU MR2-B'!A1" display="N/A" xr:uid="{F90C7D6A-9971-475E-BD9D-D3CC2F484150}"/>
    <hyperlink ref="D88" location="'EU MR3'!A1" display="N/A" xr:uid="{B484F2AA-06C2-4F33-ADEB-956366E815DC}"/>
    <hyperlink ref="D89" location="'EU MR4'!A1" display="N/A" xr:uid="{17EF58AB-03E4-494B-AF39-A28B1EAA273C}"/>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4CB7-5E45-4A07-BD08-C06EC2E9535F}">
  <sheetPr>
    <pageSetUpPr fitToPage="1"/>
  </sheetPr>
  <dimension ref="A2:R32"/>
  <sheetViews>
    <sheetView showGridLines="0" zoomScaleNormal="100" workbookViewId="0">
      <selection activeCell="B2" sqref="B2"/>
    </sheetView>
  </sheetViews>
  <sheetFormatPr defaultColWidth="9.140625" defaultRowHeight="15" x14ac:dyDescent="0.25"/>
  <cols>
    <col min="1" max="1" width="9.140625" style="1"/>
    <col min="2" max="2" width="11.5703125" style="1" customWidth="1"/>
    <col min="3" max="3" width="8.140625" style="1" customWidth="1"/>
    <col min="4" max="4" width="9.140625" style="1"/>
    <col min="5" max="5" width="72.42578125" style="1" customWidth="1"/>
    <col min="6" max="6" width="20.140625" style="1" customWidth="1"/>
    <col min="7" max="8" width="22" style="1" customWidth="1"/>
    <col min="9" max="9" width="44.42578125" style="1" customWidth="1"/>
    <col min="10" max="16384" width="9.140625" style="1"/>
  </cols>
  <sheetData>
    <row r="2" spans="1:18" ht="18.75" x14ac:dyDescent="0.3">
      <c r="B2" s="878" t="s">
        <v>1124</v>
      </c>
      <c r="D2" s="422"/>
      <c r="E2" s="422"/>
      <c r="F2" s="422"/>
      <c r="G2" s="422"/>
      <c r="H2" s="422"/>
      <c r="I2" s="422"/>
      <c r="J2" s="422"/>
      <c r="K2" s="422"/>
      <c r="L2" s="422"/>
      <c r="M2" s="422"/>
      <c r="N2" s="422"/>
      <c r="O2" s="422"/>
      <c r="P2" s="422"/>
      <c r="Q2" s="422"/>
      <c r="R2" s="422"/>
    </row>
    <row r="5" spans="1:18" x14ac:dyDescent="0.25">
      <c r="B5" s="444"/>
      <c r="C5" s="444"/>
      <c r="D5" s="444"/>
      <c r="E5" s="444"/>
      <c r="F5" s="490" t="s">
        <v>105</v>
      </c>
      <c r="G5" s="490" t="s">
        <v>104</v>
      </c>
      <c r="H5" s="490" t="s">
        <v>99</v>
      </c>
      <c r="I5" s="490" t="s">
        <v>98</v>
      </c>
    </row>
    <row r="6" spans="1:18" ht="30" x14ac:dyDescent="0.25">
      <c r="B6" s="466" t="s">
        <v>1431</v>
      </c>
      <c r="C6" s="1084"/>
      <c r="D6" s="1084"/>
      <c r="E6" s="1085"/>
      <c r="F6" s="470" t="s">
        <v>1125</v>
      </c>
      <c r="G6" s="470" t="s">
        <v>1126</v>
      </c>
      <c r="H6" s="470" t="s">
        <v>1127</v>
      </c>
      <c r="I6" s="471" t="s">
        <v>1128</v>
      </c>
    </row>
    <row r="7" spans="1:18" ht="15" customHeight="1" x14ac:dyDescent="0.25">
      <c r="A7" s="379"/>
      <c r="B7" s="460">
        <v>1</v>
      </c>
      <c r="C7" s="1086" t="s">
        <v>1129</v>
      </c>
      <c r="D7" s="1087"/>
      <c r="E7" s="185" t="s">
        <v>1130</v>
      </c>
      <c r="F7" s="565">
        <v>9</v>
      </c>
      <c r="G7" s="565">
        <v>2</v>
      </c>
      <c r="H7" s="565"/>
      <c r="I7" s="565">
        <v>10</v>
      </c>
    </row>
    <row r="8" spans="1:18" x14ac:dyDescent="0.25">
      <c r="B8" s="460">
        <v>2</v>
      </c>
      <c r="C8" s="1088"/>
      <c r="D8" s="1089"/>
      <c r="E8" s="185" t="s">
        <v>1131</v>
      </c>
      <c r="F8" s="1094">
        <v>16425</v>
      </c>
      <c r="G8" s="1095"/>
      <c r="H8" s="566"/>
      <c r="I8" s="566">
        <v>9131</v>
      </c>
    </row>
    <row r="9" spans="1:18" x14ac:dyDescent="0.25">
      <c r="B9" s="460">
        <v>3</v>
      </c>
      <c r="C9" s="1088"/>
      <c r="D9" s="1089"/>
      <c r="E9" s="351" t="s">
        <v>1430</v>
      </c>
      <c r="F9" s="1094">
        <v>16425</v>
      </c>
      <c r="G9" s="1095"/>
      <c r="H9" s="566"/>
      <c r="I9" s="566">
        <v>9131</v>
      </c>
    </row>
    <row r="10" spans="1:18" x14ac:dyDescent="0.25">
      <c r="B10" s="460">
        <v>4</v>
      </c>
      <c r="C10" s="1088"/>
      <c r="D10" s="1089"/>
      <c r="E10" s="351" t="s">
        <v>1133</v>
      </c>
      <c r="F10" s="377"/>
      <c r="G10" s="377"/>
      <c r="H10" s="377"/>
      <c r="I10" s="377"/>
    </row>
    <row r="11" spans="1:18" x14ac:dyDescent="0.25">
      <c r="B11" s="460" t="s">
        <v>1134</v>
      </c>
      <c r="C11" s="1088"/>
      <c r="D11" s="1089"/>
      <c r="E11" s="351" t="s">
        <v>1135</v>
      </c>
      <c r="F11" s="566">
        <v>0</v>
      </c>
      <c r="G11" s="566">
        <v>0</v>
      </c>
      <c r="H11" s="566">
        <v>0</v>
      </c>
      <c r="I11" s="566">
        <v>0</v>
      </c>
    </row>
    <row r="12" spans="1:18" ht="30" x14ac:dyDescent="0.25">
      <c r="B12" s="460">
        <v>5</v>
      </c>
      <c r="C12" s="1088"/>
      <c r="D12" s="1089"/>
      <c r="E12" s="351" t="s">
        <v>1136</v>
      </c>
      <c r="F12" s="566">
        <v>0</v>
      </c>
      <c r="G12" s="566">
        <v>0</v>
      </c>
      <c r="H12" s="566">
        <v>0</v>
      </c>
      <c r="I12" s="566">
        <v>0</v>
      </c>
    </row>
    <row r="13" spans="1:18" x14ac:dyDescent="0.25">
      <c r="B13" s="460" t="s">
        <v>1137</v>
      </c>
      <c r="C13" s="1088"/>
      <c r="D13" s="1089"/>
      <c r="E13" s="351" t="s">
        <v>1138</v>
      </c>
      <c r="F13" s="566">
        <v>0</v>
      </c>
      <c r="G13" s="566">
        <v>0</v>
      </c>
      <c r="H13" s="566">
        <v>0</v>
      </c>
      <c r="I13" s="566">
        <v>0</v>
      </c>
    </row>
    <row r="14" spans="1:18" x14ac:dyDescent="0.25">
      <c r="B14" s="460">
        <v>6</v>
      </c>
      <c r="C14" s="1088"/>
      <c r="D14" s="1089"/>
      <c r="E14" s="351" t="s">
        <v>1133</v>
      </c>
      <c r="F14" s="377"/>
      <c r="G14" s="377"/>
      <c r="H14" s="377"/>
      <c r="I14" s="377"/>
    </row>
    <row r="15" spans="1:18" x14ac:dyDescent="0.25">
      <c r="B15" s="460">
        <v>7</v>
      </c>
      <c r="C15" s="1088"/>
      <c r="D15" s="1089"/>
      <c r="E15" s="351" t="s">
        <v>1139</v>
      </c>
      <c r="F15" s="566"/>
      <c r="G15" s="566"/>
      <c r="H15" s="566"/>
      <c r="I15" s="566"/>
    </row>
    <row r="16" spans="1:18" x14ac:dyDescent="0.25">
      <c r="B16" s="460">
        <v>8</v>
      </c>
      <c r="C16" s="1090"/>
      <c r="D16" s="1091"/>
      <c r="E16" s="351" t="s">
        <v>1133</v>
      </c>
      <c r="F16" s="377"/>
      <c r="G16" s="377"/>
      <c r="H16" s="377"/>
      <c r="I16" s="377"/>
    </row>
    <row r="17" spans="2:9" x14ac:dyDescent="0.25">
      <c r="B17" s="460">
        <v>9</v>
      </c>
      <c r="C17" s="1092" t="s">
        <v>1140</v>
      </c>
      <c r="D17" s="1092"/>
      <c r="E17" s="185" t="s">
        <v>1130</v>
      </c>
      <c r="F17" s="566">
        <v>0</v>
      </c>
      <c r="G17" s="566">
        <v>0</v>
      </c>
      <c r="H17" s="566">
        <v>0</v>
      </c>
      <c r="I17" s="566">
        <v>0</v>
      </c>
    </row>
    <row r="18" spans="2:9" x14ac:dyDescent="0.25">
      <c r="B18" s="460">
        <v>10</v>
      </c>
      <c r="C18" s="1092"/>
      <c r="D18" s="1092"/>
      <c r="E18" s="185" t="s">
        <v>1141</v>
      </c>
      <c r="F18" s="566">
        <v>0</v>
      </c>
      <c r="G18" s="566">
        <v>0</v>
      </c>
      <c r="H18" s="566">
        <v>0</v>
      </c>
      <c r="I18" s="566">
        <v>0</v>
      </c>
    </row>
    <row r="19" spans="2:9" x14ac:dyDescent="0.25">
      <c r="B19" s="460">
        <v>11</v>
      </c>
      <c r="C19" s="1092"/>
      <c r="D19" s="1092"/>
      <c r="E19" s="351" t="s">
        <v>1132</v>
      </c>
      <c r="F19" s="566">
        <v>0</v>
      </c>
      <c r="G19" s="566">
        <v>0</v>
      </c>
      <c r="H19" s="566">
        <v>0</v>
      </c>
      <c r="I19" s="566">
        <v>0</v>
      </c>
    </row>
    <row r="20" spans="2:9" x14ac:dyDescent="0.25">
      <c r="B20" s="460">
        <v>12</v>
      </c>
      <c r="C20" s="1092"/>
      <c r="D20" s="1092"/>
      <c r="E20" s="351" t="s">
        <v>1142</v>
      </c>
      <c r="F20" s="566">
        <v>0</v>
      </c>
      <c r="G20" s="566">
        <v>0</v>
      </c>
      <c r="H20" s="566">
        <v>0</v>
      </c>
      <c r="I20" s="566">
        <v>0</v>
      </c>
    </row>
    <row r="21" spans="2:9" x14ac:dyDescent="0.25">
      <c r="B21" s="460" t="s">
        <v>1143</v>
      </c>
      <c r="C21" s="1092"/>
      <c r="D21" s="1092"/>
      <c r="E21" s="351" t="s">
        <v>1135</v>
      </c>
      <c r="F21" s="566">
        <v>0</v>
      </c>
      <c r="G21" s="566">
        <v>0</v>
      </c>
      <c r="H21" s="566">
        <v>0</v>
      </c>
      <c r="I21" s="566">
        <v>0</v>
      </c>
    </row>
    <row r="22" spans="2:9" x14ac:dyDescent="0.25">
      <c r="B22" s="460" t="s">
        <v>1144</v>
      </c>
      <c r="C22" s="1092"/>
      <c r="D22" s="1092"/>
      <c r="E22" s="351" t="s">
        <v>1142</v>
      </c>
      <c r="F22" s="566">
        <v>0</v>
      </c>
      <c r="G22" s="566">
        <v>0</v>
      </c>
      <c r="H22" s="566">
        <v>0</v>
      </c>
      <c r="I22" s="566">
        <v>0</v>
      </c>
    </row>
    <row r="23" spans="2:9" ht="30" x14ac:dyDescent="0.25">
      <c r="B23" s="460" t="s">
        <v>1145</v>
      </c>
      <c r="C23" s="1092"/>
      <c r="D23" s="1092"/>
      <c r="E23" s="351" t="s">
        <v>1136</v>
      </c>
      <c r="F23" s="566">
        <v>0</v>
      </c>
      <c r="G23" s="566">
        <v>0</v>
      </c>
      <c r="H23" s="566">
        <v>0</v>
      </c>
      <c r="I23" s="566">
        <v>0</v>
      </c>
    </row>
    <row r="24" spans="2:9" x14ac:dyDescent="0.25">
      <c r="B24" s="460" t="s">
        <v>1146</v>
      </c>
      <c r="C24" s="1092"/>
      <c r="D24" s="1092"/>
      <c r="E24" s="351" t="s">
        <v>1142</v>
      </c>
      <c r="F24" s="566">
        <v>0</v>
      </c>
      <c r="G24" s="566">
        <v>0</v>
      </c>
      <c r="H24" s="566">
        <v>0</v>
      </c>
      <c r="I24" s="566">
        <v>0</v>
      </c>
    </row>
    <row r="25" spans="2:9" x14ac:dyDescent="0.25">
      <c r="B25" s="460" t="s">
        <v>1147</v>
      </c>
      <c r="C25" s="1092"/>
      <c r="D25" s="1092"/>
      <c r="E25" s="351" t="s">
        <v>1138</v>
      </c>
      <c r="F25" s="566">
        <v>0</v>
      </c>
      <c r="G25" s="566">
        <v>0</v>
      </c>
      <c r="H25" s="566">
        <v>0</v>
      </c>
      <c r="I25" s="566">
        <v>0</v>
      </c>
    </row>
    <row r="26" spans="2:9" x14ac:dyDescent="0.25">
      <c r="B26" s="460" t="s">
        <v>1148</v>
      </c>
      <c r="C26" s="1092"/>
      <c r="D26" s="1092"/>
      <c r="E26" s="351" t="s">
        <v>1142</v>
      </c>
      <c r="F26" s="566">
        <v>0</v>
      </c>
      <c r="G26" s="566">
        <v>0</v>
      </c>
      <c r="H26" s="566">
        <v>0</v>
      </c>
      <c r="I26" s="566">
        <v>0</v>
      </c>
    </row>
    <row r="27" spans="2:9" x14ac:dyDescent="0.25">
      <c r="B27" s="460">
        <v>15</v>
      </c>
      <c r="C27" s="1092"/>
      <c r="D27" s="1092"/>
      <c r="E27" s="351" t="s">
        <v>1139</v>
      </c>
      <c r="F27" s="566">
        <v>0</v>
      </c>
      <c r="G27" s="566">
        <v>0</v>
      </c>
      <c r="H27" s="566">
        <v>0</v>
      </c>
      <c r="I27" s="566">
        <v>0</v>
      </c>
    </row>
    <row r="28" spans="2:9" x14ac:dyDescent="0.25">
      <c r="B28" s="460">
        <v>16</v>
      </c>
      <c r="C28" s="1092"/>
      <c r="D28" s="1092"/>
      <c r="E28" s="351" t="s">
        <v>1142</v>
      </c>
      <c r="F28" s="566">
        <v>0</v>
      </c>
      <c r="G28" s="566">
        <v>0</v>
      </c>
      <c r="H28" s="566">
        <v>0</v>
      </c>
      <c r="I28" s="566">
        <v>0</v>
      </c>
    </row>
    <row r="29" spans="2:9" x14ac:dyDescent="0.25">
      <c r="B29" s="460">
        <v>17</v>
      </c>
      <c r="C29" s="1093" t="s">
        <v>1149</v>
      </c>
      <c r="D29" s="1093"/>
      <c r="E29" s="1093"/>
      <c r="F29" s="1094">
        <f>+F9</f>
        <v>16425</v>
      </c>
      <c r="G29" s="1095"/>
      <c r="H29" s="566">
        <f t="shared" ref="H29:I29" si="0">+H8+H18</f>
        <v>0</v>
      </c>
      <c r="I29" s="566">
        <f t="shared" si="0"/>
        <v>9131</v>
      </c>
    </row>
    <row r="31" spans="2:9" x14ac:dyDescent="0.25">
      <c r="B31" s="1" t="s">
        <v>1501</v>
      </c>
    </row>
    <row r="32" spans="2:9" x14ac:dyDescent="0.25">
      <c r="B32" s="1" t="s">
        <v>1499</v>
      </c>
    </row>
  </sheetData>
  <mergeCells count="7">
    <mergeCell ref="C6:E6"/>
    <mergeCell ref="C7:D16"/>
    <mergeCell ref="C17:D28"/>
    <mergeCell ref="C29:E29"/>
    <mergeCell ref="F9:G9"/>
    <mergeCell ref="F29:G29"/>
    <mergeCell ref="F8:G8"/>
  </mergeCells>
  <hyperlinks>
    <hyperlink ref="B2" location="Indhold!B42" display="Skema EU REM1 – Aflønning tildelt i løbet af regnskabsåret " xr:uid="{788F18C1-9674-44C5-9A64-32364DC01C4A}"/>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B5BA2-C160-44DF-A4FC-05F5529B49E1}">
  <dimension ref="B2:R15"/>
  <sheetViews>
    <sheetView showGridLines="0" zoomScaleNormal="100" workbookViewId="0">
      <selection activeCell="B2" sqref="B2"/>
    </sheetView>
  </sheetViews>
  <sheetFormatPr defaultColWidth="9.140625" defaultRowHeight="15" x14ac:dyDescent="0.25"/>
  <cols>
    <col min="1" max="1" width="9.140625" style="1"/>
    <col min="2" max="2" width="7.42578125" style="1" customWidth="1"/>
    <col min="3" max="3" width="55.5703125" style="1" customWidth="1"/>
    <col min="4" max="4" width="23" style="1" bestFit="1" customWidth="1"/>
    <col min="5" max="5" width="23.42578125" style="1" customWidth="1"/>
    <col min="6" max="6" width="15.42578125" style="1" customWidth="1"/>
    <col min="7" max="7" width="14.7109375" style="1" bestFit="1" customWidth="1"/>
    <col min="8" max="8" width="19.28515625" style="1" bestFit="1" customWidth="1"/>
    <col min="9" max="9" width="19.85546875" style="1" bestFit="1" customWidth="1"/>
    <col min="10" max="10" width="17.140625" style="1" bestFit="1" customWidth="1"/>
    <col min="11" max="11" width="13.28515625" style="1" customWidth="1"/>
    <col min="12" max="12" width="9.140625" style="1"/>
    <col min="13" max="13" width="14.140625" style="1" customWidth="1"/>
    <col min="14" max="16384" width="9.140625" style="1"/>
  </cols>
  <sheetData>
    <row r="2" spans="2:18" ht="18.75" x14ac:dyDescent="0.3">
      <c r="B2" s="878" t="s">
        <v>1199</v>
      </c>
      <c r="D2" s="422"/>
      <c r="E2" s="422"/>
      <c r="F2" s="422"/>
      <c r="G2" s="422"/>
      <c r="H2" s="422"/>
      <c r="I2" s="422"/>
      <c r="J2" s="422"/>
      <c r="K2" s="422"/>
      <c r="L2" s="422"/>
      <c r="M2" s="422"/>
      <c r="N2" s="422"/>
      <c r="O2" s="422"/>
      <c r="P2" s="422"/>
      <c r="Q2" s="422"/>
      <c r="R2" s="422"/>
    </row>
    <row r="3" spans="2:18" x14ac:dyDescent="0.25">
      <c r="C3" s="390"/>
      <c r="D3" s="390"/>
      <c r="E3" s="390"/>
      <c r="F3" s="390"/>
      <c r="G3" s="390"/>
      <c r="H3" s="391"/>
      <c r="I3" s="391"/>
      <c r="J3" s="391"/>
      <c r="K3" s="391"/>
      <c r="L3" s="391"/>
      <c r="M3" s="391"/>
    </row>
    <row r="4" spans="2:18" ht="15.75" thickBot="1" x14ac:dyDescent="0.3">
      <c r="C4" s="390"/>
      <c r="D4" s="390"/>
      <c r="E4" s="390"/>
      <c r="F4" s="390"/>
      <c r="G4" s="391"/>
      <c r="H4" s="391"/>
      <c r="I4" s="391"/>
      <c r="J4" s="391"/>
      <c r="K4" s="391"/>
      <c r="L4" s="391"/>
      <c r="M4" s="391"/>
    </row>
    <row r="5" spans="2:18" ht="15" customHeight="1" thickBot="1" x14ac:dyDescent="0.3">
      <c r="B5" s="444"/>
      <c r="C5" s="445"/>
      <c r="D5" s="1096" t="s">
        <v>1200</v>
      </c>
      <c r="E5" s="1096"/>
      <c r="F5" s="1096"/>
      <c r="G5" s="1096" t="s">
        <v>1201</v>
      </c>
      <c r="H5" s="1096"/>
      <c r="I5" s="1096"/>
      <c r="J5" s="1096"/>
      <c r="K5" s="1096"/>
      <c r="L5" s="1096"/>
      <c r="M5" s="730"/>
    </row>
    <row r="6" spans="2:18" ht="45" x14ac:dyDescent="0.25">
      <c r="B6" s="447" t="s">
        <v>1431</v>
      </c>
      <c r="C6" s="444"/>
      <c r="D6" s="731" t="s">
        <v>1125</v>
      </c>
      <c r="E6" s="731" t="s">
        <v>1182</v>
      </c>
      <c r="F6" s="731" t="s">
        <v>1202</v>
      </c>
      <c r="G6" s="731" t="s">
        <v>1288</v>
      </c>
      <c r="H6" s="731" t="s">
        <v>1203</v>
      </c>
      <c r="I6" s="731" t="s">
        <v>1204</v>
      </c>
      <c r="J6" s="731" t="s">
        <v>1205</v>
      </c>
      <c r="K6" s="731" t="s">
        <v>1289</v>
      </c>
      <c r="L6" s="731" t="s">
        <v>1206</v>
      </c>
      <c r="M6" s="731" t="s">
        <v>822</v>
      </c>
    </row>
    <row r="7" spans="2:18" x14ac:dyDescent="0.25">
      <c r="B7" s="732">
        <v>1</v>
      </c>
      <c r="C7" s="746" t="s">
        <v>1207</v>
      </c>
      <c r="D7" s="733"/>
      <c r="E7" s="733"/>
      <c r="F7" s="733"/>
      <c r="G7" s="733"/>
      <c r="H7" s="733"/>
      <c r="I7" s="733"/>
      <c r="J7" s="733"/>
      <c r="K7" s="733"/>
      <c r="L7" s="733"/>
      <c r="M7" s="734">
        <v>21</v>
      </c>
    </row>
    <row r="8" spans="2:18" x14ac:dyDescent="0.25">
      <c r="B8" s="732">
        <v>2</v>
      </c>
      <c r="C8" s="747" t="s">
        <v>1208</v>
      </c>
      <c r="D8" s="735">
        <v>9</v>
      </c>
      <c r="E8" s="735">
        <v>2</v>
      </c>
      <c r="F8" s="735">
        <v>11</v>
      </c>
      <c r="G8" s="736"/>
      <c r="H8" s="736"/>
      <c r="I8" s="736"/>
      <c r="J8" s="736"/>
      <c r="K8" s="736"/>
      <c r="L8" s="737"/>
      <c r="M8" s="738"/>
    </row>
    <row r="9" spans="2:18" x14ac:dyDescent="0.25">
      <c r="B9" s="732">
        <v>3</v>
      </c>
      <c r="C9" s="748" t="s">
        <v>1209</v>
      </c>
      <c r="D9" s="736"/>
      <c r="E9" s="736"/>
      <c r="F9" s="736"/>
      <c r="G9" s="739"/>
      <c r="H9" s="739"/>
      <c r="I9" s="739"/>
      <c r="J9" s="739"/>
      <c r="K9" s="739"/>
      <c r="L9" s="740"/>
      <c r="M9" s="738"/>
    </row>
    <row r="10" spans="2:18" x14ac:dyDescent="0.25">
      <c r="B10" s="732">
        <v>4</v>
      </c>
      <c r="C10" s="748" t="s">
        <v>1210</v>
      </c>
      <c r="D10" s="736"/>
      <c r="E10" s="736"/>
      <c r="F10" s="736"/>
      <c r="G10" s="739">
        <v>1</v>
      </c>
      <c r="H10" s="739"/>
      <c r="I10" s="739"/>
      <c r="J10" s="739">
        <v>6</v>
      </c>
      <c r="K10" s="739">
        <v>3</v>
      </c>
      <c r="L10" s="740"/>
      <c r="M10" s="738"/>
    </row>
    <row r="11" spans="2:18" x14ac:dyDescent="0.25">
      <c r="B11" s="732">
        <v>5</v>
      </c>
      <c r="C11" s="746" t="s">
        <v>1211</v>
      </c>
      <c r="D11" s="741"/>
      <c r="E11" s="735"/>
      <c r="F11" s="735"/>
      <c r="G11" s="1097">
        <v>9131</v>
      </c>
      <c r="H11" s="1098"/>
      <c r="I11" s="1098"/>
      <c r="J11" s="1098"/>
      <c r="K11" s="1098"/>
      <c r="L11" s="1099"/>
      <c r="M11" s="738"/>
    </row>
    <row r="12" spans="2:18" x14ac:dyDescent="0.25">
      <c r="B12" s="732">
        <v>6</v>
      </c>
      <c r="C12" s="747" t="s">
        <v>1212</v>
      </c>
      <c r="D12" s="742"/>
      <c r="E12" s="743"/>
      <c r="F12" s="743"/>
      <c r="G12" s="744"/>
      <c r="H12" s="744"/>
      <c r="I12" s="744"/>
      <c r="J12" s="744"/>
      <c r="K12" s="744"/>
      <c r="L12" s="745"/>
      <c r="M12" s="738"/>
    </row>
    <row r="13" spans="2:18" x14ac:dyDescent="0.25">
      <c r="B13" s="732">
        <v>7</v>
      </c>
      <c r="C13" s="748" t="s">
        <v>1213</v>
      </c>
      <c r="D13" s="742"/>
      <c r="E13" s="743"/>
      <c r="F13" s="743">
        <v>16425</v>
      </c>
      <c r="G13" s="1100">
        <v>9131</v>
      </c>
      <c r="H13" s="1101"/>
      <c r="I13" s="1101"/>
      <c r="J13" s="1101"/>
      <c r="K13" s="1101"/>
      <c r="L13" s="1102"/>
      <c r="M13" s="738"/>
    </row>
    <row r="15" spans="2:18" ht="26.25" customHeight="1" x14ac:dyDescent="0.25">
      <c r="B15" s="1" t="s">
        <v>1500</v>
      </c>
    </row>
  </sheetData>
  <mergeCells count="4">
    <mergeCell ref="D5:F5"/>
    <mergeCell ref="G5:L5"/>
    <mergeCell ref="G11:L11"/>
    <mergeCell ref="G13:L13"/>
  </mergeCells>
  <hyperlinks>
    <hyperlink ref="B2" location="Indhold!B43" display="Skema REM5 – Oplysninger om aflønning af medarbejdere, hvis arbejde har væsentlig indflydelse på instituttets risikoprofil (identificerede medarbejdere)" xr:uid="{3D43D8BA-FD0E-490F-BCB3-EC3E03915C26}"/>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4865-3463-40CD-8D31-3A4EF93FF7E6}">
  <dimension ref="B2:R16"/>
  <sheetViews>
    <sheetView showGridLines="0" zoomScaleNormal="100" workbookViewId="0">
      <selection activeCell="B2" sqref="B2"/>
    </sheetView>
  </sheetViews>
  <sheetFormatPr defaultRowHeight="15" x14ac:dyDescent="0.25"/>
  <cols>
    <col min="2" max="2" width="5.7109375" customWidth="1"/>
    <col min="3" max="3" width="47.140625" customWidth="1"/>
    <col min="4" max="8" width="17.7109375" customWidth="1"/>
    <col min="9" max="9" width="19.42578125" customWidth="1"/>
    <col min="10" max="11" width="17.7109375" customWidth="1"/>
  </cols>
  <sheetData>
    <row r="2" spans="2:18" ht="18.75" x14ac:dyDescent="0.3">
      <c r="B2" s="878" t="s">
        <v>1214</v>
      </c>
      <c r="D2" s="422"/>
      <c r="E2" s="422"/>
      <c r="F2" s="422"/>
      <c r="G2" s="422"/>
      <c r="H2" s="422"/>
      <c r="I2" s="422"/>
      <c r="J2" s="422"/>
      <c r="K2" s="422"/>
      <c r="L2" s="422"/>
      <c r="M2" s="422"/>
      <c r="N2" s="422"/>
      <c r="O2" s="422"/>
      <c r="P2" s="422"/>
      <c r="Q2" s="422"/>
      <c r="R2" s="422"/>
    </row>
    <row r="3" spans="2:18" ht="15.75" x14ac:dyDescent="0.25">
      <c r="B3" s="392"/>
      <c r="C3" s="394"/>
      <c r="D3" s="395"/>
      <c r="E3" s="395"/>
      <c r="F3" s="395"/>
      <c r="G3" s="395"/>
      <c r="H3" s="395"/>
      <c r="I3" s="395"/>
      <c r="J3" s="395"/>
      <c r="K3" s="392"/>
    </row>
    <row r="4" spans="2:18" ht="15.75" x14ac:dyDescent="0.25">
      <c r="B4" s="392"/>
      <c r="C4" s="394"/>
      <c r="D4" s="395"/>
      <c r="E4" s="395"/>
      <c r="F4" s="395"/>
      <c r="G4" s="395"/>
      <c r="H4" s="395"/>
      <c r="I4" s="395"/>
      <c r="J4" s="395"/>
      <c r="K4" s="392"/>
    </row>
    <row r="5" spans="2:18" x14ac:dyDescent="0.25">
      <c r="B5" s="750"/>
      <c r="C5" s="749"/>
      <c r="D5" s="1103" t="s">
        <v>1215</v>
      </c>
      <c r="E5" s="1103"/>
      <c r="F5" s="1103" t="s">
        <v>1216</v>
      </c>
      <c r="G5" s="1103"/>
      <c r="H5" s="1103" t="s">
        <v>1217</v>
      </c>
      <c r="I5" s="1103"/>
      <c r="J5" s="1103" t="s">
        <v>1218</v>
      </c>
      <c r="K5" s="1103"/>
    </row>
    <row r="6" spans="2:18" ht="90" x14ac:dyDescent="0.25">
      <c r="B6" s="756" t="s">
        <v>1431</v>
      </c>
      <c r="C6" s="750"/>
      <c r="D6" s="755"/>
      <c r="E6" s="752" t="s">
        <v>1219</v>
      </c>
      <c r="F6" s="753"/>
      <c r="G6" s="752" t="s">
        <v>1219</v>
      </c>
      <c r="H6" s="753"/>
      <c r="I6" s="752" t="s">
        <v>1220</v>
      </c>
      <c r="J6" s="753"/>
      <c r="K6" s="752" t="s">
        <v>1220</v>
      </c>
    </row>
    <row r="7" spans="2:18" x14ac:dyDescent="0.25">
      <c r="B7" s="750"/>
      <c r="C7" s="751"/>
      <c r="D7" s="754" t="s">
        <v>348</v>
      </c>
      <c r="E7" s="754" t="s">
        <v>591</v>
      </c>
      <c r="F7" s="754" t="s">
        <v>593</v>
      </c>
      <c r="G7" s="754" t="s">
        <v>595</v>
      </c>
      <c r="H7" s="754" t="s">
        <v>597</v>
      </c>
      <c r="I7" s="754" t="s">
        <v>601</v>
      </c>
      <c r="J7" s="754" t="s">
        <v>603</v>
      </c>
      <c r="K7" s="754" t="s">
        <v>605</v>
      </c>
    </row>
    <row r="8" spans="2:18" x14ac:dyDescent="0.25">
      <c r="B8" s="757" t="s">
        <v>348</v>
      </c>
      <c r="C8" s="758" t="s">
        <v>1221</v>
      </c>
      <c r="D8" s="759">
        <v>0</v>
      </c>
      <c r="E8" s="759">
        <v>0</v>
      </c>
      <c r="F8" s="760"/>
      <c r="G8" s="760"/>
      <c r="H8" s="759">
        <v>8774914</v>
      </c>
      <c r="I8" s="759">
        <v>2897620</v>
      </c>
      <c r="J8" s="761"/>
      <c r="K8" s="760"/>
    </row>
    <row r="9" spans="2:18" x14ac:dyDescent="0.25">
      <c r="B9" s="762" t="s">
        <v>591</v>
      </c>
      <c r="C9" s="763" t="s">
        <v>956</v>
      </c>
      <c r="D9" s="764">
        <v>0</v>
      </c>
      <c r="E9" s="764">
        <v>0</v>
      </c>
      <c r="F9" s="764">
        <v>0</v>
      </c>
      <c r="G9" s="764">
        <v>0</v>
      </c>
      <c r="H9" s="764">
        <v>348957</v>
      </c>
      <c r="I9" s="764">
        <v>30422</v>
      </c>
      <c r="J9" s="765">
        <v>348957</v>
      </c>
      <c r="K9" s="764">
        <v>30422</v>
      </c>
    </row>
    <row r="10" spans="2:18" x14ac:dyDescent="0.25">
      <c r="B10" s="762" t="s">
        <v>593</v>
      </c>
      <c r="C10" s="763" t="s">
        <v>604</v>
      </c>
      <c r="D10" s="764">
        <v>0</v>
      </c>
      <c r="E10" s="764">
        <v>0</v>
      </c>
      <c r="F10" s="764">
        <v>0</v>
      </c>
      <c r="G10" s="764">
        <v>0</v>
      </c>
      <c r="H10" s="764">
        <v>2867198</v>
      </c>
      <c r="I10" s="764">
        <v>2867198</v>
      </c>
      <c r="J10" s="764">
        <v>2867198</v>
      </c>
      <c r="K10" s="764">
        <v>2867198</v>
      </c>
    </row>
    <row r="11" spans="2:18" ht="30" x14ac:dyDescent="0.25">
      <c r="B11" s="762" t="s">
        <v>595</v>
      </c>
      <c r="C11" s="766" t="s">
        <v>1222</v>
      </c>
      <c r="D11" s="764">
        <v>0</v>
      </c>
      <c r="E11" s="764">
        <v>0</v>
      </c>
      <c r="F11" s="764">
        <v>0</v>
      </c>
      <c r="G11" s="764">
        <v>0</v>
      </c>
      <c r="H11" s="764">
        <v>0</v>
      </c>
      <c r="I11" s="764">
        <v>0</v>
      </c>
      <c r="J11" s="764">
        <v>0</v>
      </c>
      <c r="K11" s="764">
        <v>0</v>
      </c>
    </row>
    <row r="12" spans="2:18" x14ac:dyDescent="0.25">
      <c r="B12" s="762" t="s">
        <v>597</v>
      </c>
      <c r="C12" s="766" t="s">
        <v>1223</v>
      </c>
      <c r="D12" s="764">
        <v>0</v>
      </c>
      <c r="E12" s="764">
        <v>0</v>
      </c>
      <c r="F12" s="764">
        <v>0</v>
      </c>
      <c r="G12" s="764">
        <v>0</v>
      </c>
      <c r="H12" s="764">
        <v>0</v>
      </c>
      <c r="I12" s="764">
        <v>0</v>
      </c>
      <c r="J12" s="764">
        <v>0</v>
      </c>
      <c r="K12" s="764">
        <v>0</v>
      </c>
    </row>
    <row r="13" spans="2:18" x14ac:dyDescent="0.25">
      <c r="B13" s="762" t="s">
        <v>599</v>
      </c>
      <c r="C13" s="766" t="s">
        <v>1224</v>
      </c>
      <c r="D13" s="764">
        <v>0</v>
      </c>
      <c r="E13" s="764">
        <v>0</v>
      </c>
      <c r="F13" s="764">
        <v>0</v>
      </c>
      <c r="G13" s="764">
        <v>0</v>
      </c>
      <c r="H13" s="764">
        <v>0</v>
      </c>
      <c r="I13" s="764">
        <v>0</v>
      </c>
      <c r="J13" s="764">
        <v>0</v>
      </c>
      <c r="K13" s="764">
        <v>0</v>
      </c>
    </row>
    <row r="14" spans="2:18" x14ac:dyDescent="0.25">
      <c r="B14" s="762" t="s">
        <v>601</v>
      </c>
      <c r="C14" s="766" t="s">
        <v>1225</v>
      </c>
      <c r="D14" s="764">
        <v>0</v>
      </c>
      <c r="E14" s="764">
        <v>0</v>
      </c>
      <c r="F14" s="764">
        <v>0</v>
      </c>
      <c r="G14" s="764">
        <v>0</v>
      </c>
      <c r="H14" s="764">
        <v>2867198</v>
      </c>
      <c r="I14" s="764">
        <v>2867198</v>
      </c>
      <c r="J14" s="764">
        <v>2867198</v>
      </c>
      <c r="K14" s="764">
        <v>2867198</v>
      </c>
    </row>
    <row r="15" spans="2:18" x14ac:dyDescent="0.25">
      <c r="B15" s="762" t="s">
        <v>603</v>
      </c>
      <c r="C15" s="766" t="s">
        <v>1226</v>
      </c>
      <c r="D15" s="764">
        <v>0</v>
      </c>
      <c r="E15" s="764">
        <v>0</v>
      </c>
      <c r="F15" s="764">
        <v>0</v>
      </c>
      <c r="G15" s="764">
        <v>0</v>
      </c>
      <c r="H15" s="764">
        <v>0</v>
      </c>
      <c r="I15" s="764">
        <v>0</v>
      </c>
      <c r="J15" s="764">
        <v>0</v>
      </c>
      <c r="K15" s="764">
        <v>0</v>
      </c>
    </row>
    <row r="16" spans="2:18" x14ac:dyDescent="0.25">
      <c r="B16" s="762" t="s">
        <v>607</v>
      </c>
      <c r="C16" s="763" t="s">
        <v>1227</v>
      </c>
      <c r="D16" s="764">
        <v>0</v>
      </c>
      <c r="E16" s="764">
        <v>0</v>
      </c>
      <c r="F16" s="767"/>
      <c r="G16" s="767"/>
      <c r="H16" s="764">
        <f>1323380+3349350+886029</f>
        <v>5558759</v>
      </c>
      <c r="I16" s="764">
        <v>0</v>
      </c>
      <c r="J16" s="768"/>
      <c r="K16" s="767"/>
    </row>
  </sheetData>
  <mergeCells count="4">
    <mergeCell ref="D5:E5"/>
    <mergeCell ref="F5:G5"/>
    <mergeCell ref="H5:I5"/>
    <mergeCell ref="J5:K5"/>
  </mergeCells>
  <conditionalFormatting sqref="D8:K16">
    <cfRule type="cellIs" dxfId="8" priority="1" stopIfTrue="1" operator="lessThan">
      <formula>0</formula>
    </cfRule>
  </conditionalFormatting>
  <hyperlinks>
    <hyperlink ref="B2" location="Indhold!B45" display="Skema EU AE1 - Behæftede og ubehæftede aktiver" xr:uid="{2785D991-9A2F-4008-9DEA-82E8487AB11D}"/>
  </hyperlinks>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CDF37-9A95-4AF6-A4E5-E40D0AB2334D}">
  <sheetPr>
    <tabColor rgb="FF0070C0"/>
  </sheetPr>
  <dimension ref="B2:F16"/>
  <sheetViews>
    <sheetView showGridLines="0" zoomScaleNormal="100" workbookViewId="0">
      <selection activeCell="B2" sqref="B2"/>
    </sheetView>
  </sheetViews>
  <sheetFormatPr defaultRowHeight="15" x14ac:dyDescent="0.25"/>
  <cols>
    <col min="2" max="2" width="4.7109375" customWidth="1"/>
    <col min="3" max="4" width="26.42578125" customWidth="1"/>
    <col min="5" max="6" width="27" customWidth="1"/>
  </cols>
  <sheetData>
    <row r="2" spans="2:6" x14ac:dyDescent="0.25">
      <c r="B2" s="878" t="s">
        <v>715</v>
      </c>
    </row>
    <row r="3" spans="2:6" ht="15.75" x14ac:dyDescent="0.25">
      <c r="B3" s="1105"/>
      <c r="C3" s="1105"/>
      <c r="D3" s="225"/>
      <c r="E3" s="621"/>
      <c r="F3" s="621"/>
    </row>
    <row r="4" spans="2:6" ht="15.75" x14ac:dyDescent="0.25">
      <c r="B4" s="826"/>
      <c r="C4" s="826"/>
      <c r="D4" s="225"/>
      <c r="E4" s="621"/>
      <c r="F4" s="621"/>
    </row>
    <row r="5" spans="2:6" ht="15.75" x14ac:dyDescent="0.25">
      <c r="B5" s="1106"/>
      <c r="C5" s="1106"/>
      <c r="D5" s="620"/>
      <c r="E5" s="622" t="s">
        <v>105</v>
      </c>
      <c r="F5" s="622" t="s">
        <v>104</v>
      </c>
    </row>
    <row r="6" spans="2:6" ht="15.75" x14ac:dyDescent="0.25">
      <c r="B6" s="1106"/>
      <c r="C6" s="1106"/>
      <c r="D6" s="619"/>
      <c r="E6" s="1038" t="s">
        <v>716</v>
      </c>
      <c r="F6" s="1040"/>
    </row>
    <row r="7" spans="2:6" ht="15.75" x14ac:dyDescent="0.25">
      <c r="B7" s="1109" t="s">
        <v>1431</v>
      </c>
      <c r="C7" s="1109"/>
      <c r="D7" s="623"/>
      <c r="E7" s="1107"/>
      <c r="F7" s="1108"/>
    </row>
    <row r="8" spans="2:6" ht="16.5" thickBot="1" x14ac:dyDescent="0.3">
      <c r="B8" s="1104"/>
      <c r="C8" s="1104"/>
      <c r="D8" s="624"/>
      <c r="E8" s="625" t="s">
        <v>717</v>
      </c>
      <c r="F8" s="625" t="s">
        <v>718</v>
      </c>
    </row>
    <row r="9" spans="2:6" x14ac:dyDescent="0.25">
      <c r="B9" s="626" t="s">
        <v>348</v>
      </c>
      <c r="C9" s="1112" t="s">
        <v>719</v>
      </c>
      <c r="D9" s="1112"/>
      <c r="E9" s="463">
        <v>0</v>
      </c>
      <c r="F9" s="463">
        <v>0</v>
      </c>
    </row>
    <row r="10" spans="2:6" x14ac:dyDescent="0.25">
      <c r="B10" s="627" t="s">
        <v>354</v>
      </c>
      <c r="C10" s="1113" t="s">
        <v>720</v>
      </c>
      <c r="D10" s="1113"/>
      <c r="E10" s="61">
        <v>0</v>
      </c>
      <c r="F10" s="61">
        <v>0</v>
      </c>
    </row>
    <row r="11" spans="2:6" x14ac:dyDescent="0.25">
      <c r="B11" s="628" t="s">
        <v>591</v>
      </c>
      <c r="C11" s="1110" t="s">
        <v>721</v>
      </c>
      <c r="D11" s="1110"/>
      <c r="E11" s="61">
        <v>0</v>
      </c>
      <c r="F11" s="61">
        <v>0</v>
      </c>
    </row>
    <row r="12" spans="2:6" x14ac:dyDescent="0.25">
      <c r="B12" s="628" t="s">
        <v>593</v>
      </c>
      <c r="C12" s="1110" t="s">
        <v>722</v>
      </c>
      <c r="D12" s="1110"/>
      <c r="E12" s="61">
        <v>0</v>
      </c>
      <c r="F12" s="61">
        <v>0</v>
      </c>
    </row>
    <row r="13" spans="2:6" x14ac:dyDescent="0.25">
      <c r="B13" s="628" t="s">
        <v>595</v>
      </c>
      <c r="C13" s="1110" t="s">
        <v>723</v>
      </c>
      <c r="D13" s="1110"/>
      <c r="E13" s="61">
        <v>0</v>
      </c>
      <c r="F13" s="61">
        <v>0</v>
      </c>
    </row>
    <row r="14" spans="2:6" x14ac:dyDescent="0.25">
      <c r="B14" s="628" t="s">
        <v>597</v>
      </c>
      <c r="C14" s="1110" t="s">
        <v>724</v>
      </c>
      <c r="D14" s="1110"/>
      <c r="E14" s="61">
        <v>0</v>
      </c>
      <c r="F14" s="61">
        <v>0</v>
      </c>
    </row>
    <row r="15" spans="2:6" x14ac:dyDescent="0.25">
      <c r="B15" s="628" t="s">
        <v>599</v>
      </c>
      <c r="C15" s="1110" t="s">
        <v>725</v>
      </c>
      <c r="D15" s="1110"/>
      <c r="E15" s="61">
        <v>0</v>
      </c>
      <c r="F15" s="61">
        <v>0</v>
      </c>
    </row>
    <row r="16" spans="2:6" x14ac:dyDescent="0.25">
      <c r="B16" s="629" t="s">
        <v>601</v>
      </c>
      <c r="C16" s="1111" t="s">
        <v>0</v>
      </c>
      <c r="D16" s="1111"/>
      <c r="E16" s="61">
        <v>0</v>
      </c>
      <c r="F16" s="61">
        <v>0</v>
      </c>
    </row>
  </sheetData>
  <mergeCells count="14">
    <mergeCell ref="C15:D15"/>
    <mergeCell ref="C16:D16"/>
    <mergeCell ref="C9:D9"/>
    <mergeCell ref="C10:D10"/>
    <mergeCell ref="C11:D11"/>
    <mergeCell ref="C12:D12"/>
    <mergeCell ref="C13:D13"/>
    <mergeCell ref="C14:D14"/>
    <mergeCell ref="B8:C8"/>
    <mergeCell ref="B3:C3"/>
    <mergeCell ref="B5:C5"/>
    <mergeCell ref="B6:C6"/>
    <mergeCell ref="E6:F7"/>
    <mergeCell ref="B7:C7"/>
  </mergeCells>
  <hyperlinks>
    <hyperlink ref="B2" location="Indhold!B50" display="Skema EU CQ7: Sikkerhedsstillelse opnået gennem overtagelse og fuldbyrdelsesprocesser " xr:uid="{0DAC9D37-8E8E-4AF3-9F42-C6B0C93A05CB}"/>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066B-2B55-4E6D-9E3B-E01E6439C134}">
  <sheetPr>
    <tabColor rgb="FF0070C0"/>
    <pageSetUpPr fitToPage="1"/>
  </sheetPr>
  <dimension ref="B2:L39"/>
  <sheetViews>
    <sheetView showGridLines="0" zoomScaleNormal="100" zoomScalePageLayoutView="90" workbookViewId="0">
      <selection activeCell="B2" sqref="B2"/>
    </sheetView>
  </sheetViews>
  <sheetFormatPr defaultColWidth="9.140625" defaultRowHeight="15" x14ac:dyDescent="0.25"/>
  <cols>
    <col min="1" max="1" width="9.140625" style="673"/>
    <col min="2" max="2" width="12.42578125" style="672" customWidth="1"/>
    <col min="3" max="3" width="64.42578125" style="673" customWidth="1"/>
    <col min="4" max="4" width="18.7109375" style="673" customWidth="1"/>
    <col min="5" max="5" width="14.5703125" style="673" customWidth="1"/>
    <col min="6" max="6" width="9.140625" style="673"/>
    <col min="7" max="8" width="14.140625" style="673" customWidth="1"/>
    <col min="9" max="11" width="16.7109375" style="673" customWidth="1"/>
    <col min="12" max="16384" width="9.140625" style="673"/>
  </cols>
  <sheetData>
    <row r="2" spans="2:12" x14ac:dyDescent="0.25">
      <c r="B2" s="878" t="s">
        <v>908</v>
      </c>
      <c r="C2" s="672"/>
    </row>
    <row r="3" spans="2:12" ht="15.75" x14ac:dyDescent="0.25">
      <c r="B3" s="674" t="s">
        <v>909</v>
      </c>
    </row>
    <row r="4" spans="2:12" x14ac:dyDescent="0.25">
      <c r="B4" s="675"/>
      <c r="C4" s="676"/>
      <c r="D4" s="677"/>
      <c r="E4" s="677"/>
      <c r="F4" s="677"/>
      <c r="G4" s="677"/>
      <c r="H4" s="677"/>
      <c r="I4" s="677"/>
      <c r="J4" s="677"/>
      <c r="K4" s="677"/>
      <c r="L4" s="678"/>
    </row>
    <row r="5" spans="2:12" x14ac:dyDescent="0.25">
      <c r="B5" s="679"/>
      <c r="C5" s="680"/>
      <c r="D5" s="470" t="s">
        <v>105</v>
      </c>
      <c r="E5" s="470" t="s">
        <v>104</v>
      </c>
      <c r="F5" s="470" t="s">
        <v>99</v>
      </c>
      <c r="G5" s="470" t="s">
        <v>98</v>
      </c>
      <c r="H5" s="470" t="s">
        <v>97</v>
      </c>
      <c r="I5" s="470" t="s">
        <v>113</v>
      </c>
      <c r="J5" s="470" t="s">
        <v>114</v>
      </c>
      <c r="K5" s="470" t="s">
        <v>169</v>
      </c>
      <c r="L5" s="681"/>
    </row>
    <row r="6" spans="2:12" ht="105" x14ac:dyDescent="0.25">
      <c r="B6" s="663" t="s">
        <v>1431</v>
      </c>
      <c r="C6" s="680"/>
      <c r="D6" s="470" t="s">
        <v>910</v>
      </c>
      <c r="E6" s="470" t="s">
        <v>911</v>
      </c>
      <c r="F6" s="470" t="s">
        <v>1279</v>
      </c>
      <c r="G6" s="470" t="s">
        <v>1280</v>
      </c>
      <c r="H6" s="470" t="s">
        <v>1281</v>
      </c>
      <c r="I6" s="470" t="s">
        <v>1282</v>
      </c>
      <c r="J6" s="470" t="s">
        <v>1283</v>
      </c>
      <c r="K6" s="470" t="s">
        <v>90</v>
      </c>
      <c r="L6" s="681"/>
    </row>
    <row r="7" spans="2:12" x14ac:dyDescent="0.25">
      <c r="B7" s="13" t="s">
        <v>1468</v>
      </c>
      <c r="C7" s="9" t="s">
        <v>912</v>
      </c>
      <c r="D7" s="682">
        <v>0</v>
      </c>
      <c r="E7" s="682">
        <v>0</v>
      </c>
      <c r="F7" s="683"/>
      <c r="G7" s="662" t="s">
        <v>913</v>
      </c>
      <c r="H7" s="662">
        <v>0</v>
      </c>
      <c r="I7" s="684">
        <v>0</v>
      </c>
      <c r="J7" s="684">
        <v>0</v>
      </c>
      <c r="K7" s="684">
        <v>0</v>
      </c>
      <c r="L7" s="681"/>
    </row>
    <row r="8" spans="2:12" ht="30" x14ac:dyDescent="0.25">
      <c r="B8" s="13" t="s">
        <v>1469</v>
      </c>
      <c r="C8" s="9" t="s">
        <v>914</v>
      </c>
      <c r="D8" s="685">
        <v>0</v>
      </c>
      <c r="E8" s="685">
        <v>0</v>
      </c>
      <c r="F8" s="659"/>
      <c r="G8" s="660" t="s">
        <v>913</v>
      </c>
      <c r="H8" s="660">
        <v>0</v>
      </c>
      <c r="I8" s="563">
        <v>0</v>
      </c>
      <c r="J8" s="563">
        <v>0</v>
      </c>
      <c r="K8" s="563">
        <v>0</v>
      </c>
      <c r="L8" s="681"/>
    </row>
    <row r="9" spans="2:12" x14ac:dyDescent="0.25">
      <c r="B9" s="13">
        <v>1</v>
      </c>
      <c r="C9" s="9" t="s">
        <v>915</v>
      </c>
      <c r="D9" s="563">
        <v>0</v>
      </c>
      <c r="E9" s="563">
        <v>0</v>
      </c>
      <c r="F9" s="686"/>
      <c r="G9" s="660" t="s">
        <v>913</v>
      </c>
      <c r="H9" s="660">
        <v>0</v>
      </c>
      <c r="I9" s="563">
        <v>0</v>
      </c>
      <c r="J9" s="563">
        <v>0</v>
      </c>
      <c r="K9" s="563">
        <v>0</v>
      </c>
      <c r="L9" s="681"/>
    </row>
    <row r="10" spans="2:12" ht="30" x14ac:dyDescent="0.25">
      <c r="B10" s="13">
        <v>2</v>
      </c>
      <c r="C10" s="687" t="s">
        <v>916</v>
      </c>
      <c r="D10" s="686"/>
      <c r="E10" s="686"/>
      <c r="F10" s="563">
        <v>0</v>
      </c>
      <c r="G10" s="563">
        <v>0</v>
      </c>
      <c r="H10" s="563">
        <v>0</v>
      </c>
      <c r="I10" s="563">
        <v>0</v>
      </c>
      <c r="J10" s="563">
        <v>0</v>
      </c>
      <c r="K10" s="563">
        <v>0</v>
      </c>
      <c r="L10" s="681"/>
    </row>
    <row r="11" spans="2:12" x14ac:dyDescent="0.25">
      <c r="B11" s="13" t="s">
        <v>917</v>
      </c>
      <c r="C11" s="648" t="s">
        <v>918</v>
      </c>
      <c r="D11" s="686"/>
      <c r="E11" s="686"/>
      <c r="F11" s="563">
        <v>0</v>
      </c>
      <c r="G11" s="686"/>
      <c r="H11" s="563">
        <v>0</v>
      </c>
      <c r="I11" s="563">
        <v>0</v>
      </c>
      <c r="J11" s="563">
        <v>0</v>
      </c>
      <c r="K11" s="563">
        <v>0</v>
      </c>
      <c r="L11" s="681"/>
    </row>
    <row r="12" spans="2:12" x14ac:dyDescent="0.25">
      <c r="B12" s="13" t="s">
        <v>919</v>
      </c>
      <c r="C12" s="648" t="s">
        <v>920</v>
      </c>
      <c r="D12" s="686"/>
      <c r="E12" s="686"/>
      <c r="F12" s="563">
        <v>0</v>
      </c>
      <c r="G12" s="686"/>
      <c r="H12" s="563">
        <v>0</v>
      </c>
      <c r="I12" s="563">
        <v>0</v>
      </c>
      <c r="J12" s="563">
        <v>0</v>
      </c>
      <c r="K12" s="563">
        <v>0</v>
      </c>
      <c r="L12" s="681"/>
    </row>
    <row r="13" spans="2:12" x14ac:dyDescent="0.25">
      <c r="B13" s="13" t="s">
        <v>921</v>
      </c>
      <c r="C13" s="648" t="s">
        <v>922</v>
      </c>
      <c r="D13" s="686"/>
      <c r="E13" s="686"/>
      <c r="F13" s="563">
        <v>0</v>
      </c>
      <c r="G13" s="686"/>
      <c r="H13" s="563">
        <v>0</v>
      </c>
      <c r="I13" s="563">
        <v>0</v>
      </c>
      <c r="J13" s="563">
        <v>0</v>
      </c>
      <c r="K13" s="563">
        <v>0</v>
      </c>
      <c r="L13" s="681"/>
    </row>
    <row r="14" spans="2:12" x14ac:dyDescent="0.25">
      <c r="B14" s="13">
        <v>3</v>
      </c>
      <c r="C14" s="687" t="s">
        <v>923</v>
      </c>
      <c r="D14" s="686"/>
      <c r="E14" s="686"/>
      <c r="F14" s="686"/>
      <c r="G14" s="686"/>
      <c r="H14" s="688">
        <v>0</v>
      </c>
      <c r="I14" s="563">
        <v>0</v>
      </c>
      <c r="J14" s="563">
        <v>0</v>
      </c>
      <c r="K14" s="563">
        <v>0</v>
      </c>
      <c r="L14" s="681"/>
    </row>
    <row r="15" spans="2:12" x14ac:dyDescent="0.25">
      <c r="B15" s="13">
        <v>4</v>
      </c>
      <c r="C15" s="687" t="s">
        <v>924</v>
      </c>
      <c r="D15" s="686"/>
      <c r="E15" s="686"/>
      <c r="F15" s="686"/>
      <c r="G15" s="686"/>
      <c r="H15" s="688">
        <v>0</v>
      </c>
      <c r="I15" s="563">
        <v>0</v>
      </c>
      <c r="J15" s="563">
        <v>0</v>
      </c>
      <c r="K15" s="563">
        <v>0</v>
      </c>
      <c r="L15" s="681"/>
    </row>
    <row r="16" spans="2:12" x14ac:dyDescent="0.25">
      <c r="B16" s="13">
        <v>5</v>
      </c>
      <c r="C16" s="687" t="s">
        <v>925</v>
      </c>
      <c r="D16" s="686"/>
      <c r="E16" s="686"/>
      <c r="F16" s="686"/>
      <c r="G16" s="686"/>
      <c r="H16" s="688">
        <v>0</v>
      </c>
      <c r="I16" s="563">
        <v>0</v>
      </c>
      <c r="J16" s="563">
        <v>0</v>
      </c>
      <c r="K16" s="563">
        <v>0</v>
      </c>
      <c r="L16" s="681"/>
    </row>
    <row r="17" spans="2:12" x14ac:dyDescent="0.25">
      <c r="B17" s="13">
        <v>6</v>
      </c>
      <c r="C17" s="60" t="s">
        <v>0</v>
      </c>
      <c r="D17" s="686"/>
      <c r="E17" s="686"/>
      <c r="F17" s="686"/>
      <c r="G17" s="686"/>
      <c r="H17" s="688">
        <f>SUM(H7:H16)</f>
        <v>0</v>
      </c>
      <c r="I17" s="688">
        <f t="shared" ref="I17:K17" si="0">SUM(I7:I16)</f>
        <v>0</v>
      </c>
      <c r="J17" s="688">
        <f t="shared" si="0"/>
        <v>0</v>
      </c>
      <c r="K17" s="688">
        <f t="shared" si="0"/>
        <v>0</v>
      </c>
      <c r="L17" s="681"/>
    </row>
    <row r="38" spans="12:12" ht="23.25" x14ac:dyDescent="0.35">
      <c r="L38" s="324"/>
    </row>
    <row r="39" spans="12:12" x14ac:dyDescent="0.25">
      <c r="L39" s="131"/>
    </row>
  </sheetData>
  <hyperlinks>
    <hyperlink ref="B2" location="Indhold!B51" display="Skema EU CCR1 - Analyse af modpartskreditrisikoeksponeringer efter metode" xr:uid="{9AEE254D-A1FE-4082-99F3-7D974576C180}"/>
  </hyperlinks>
  <pageMargins left="0.70866141732283472" right="0.70866141732283472" top="0.74803149606299213" bottom="0.74803149606299213" header="0.31496062992125984" footer="0.31496062992125984"/>
  <pageSetup paperSize="9" scale="67" orientation="landscape" r:id="rId1"/>
  <headerFooter>
    <oddHeader>&amp;CDA
Bilag XXV</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8DD1-76B6-49AD-B72C-9210FA61AF1D}">
  <sheetPr>
    <tabColor rgb="FF0070C0"/>
  </sheetPr>
  <dimension ref="B2:N19"/>
  <sheetViews>
    <sheetView showGridLines="0" zoomScaleNormal="100" workbookViewId="0">
      <selection activeCell="B2" sqref="B2"/>
    </sheetView>
  </sheetViews>
  <sheetFormatPr defaultColWidth="9.140625" defaultRowHeight="15" x14ac:dyDescent="0.25"/>
  <cols>
    <col min="2" max="2" width="4" customWidth="1"/>
    <col min="3" max="3" width="31.5703125" customWidth="1"/>
    <col min="4" max="11" width="14.42578125" customWidth="1"/>
  </cols>
  <sheetData>
    <row r="2" spans="2:11" x14ac:dyDescent="0.25">
      <c r="B2" s="878" t="s">
        <v>995</v>
      </c>
    </row>
    <row r="3" spans="2:11" ht="15" customHeight="1" x14ac:dyDescent="0.3">
      <c r="B3" s="874" t="s">
        <v>942</v>
      </c>
      <c r="C3" s="282"/>
    </row>
    <row r="4" spans="2:11" ht="15" customHeight="1" x14ac:dyDescent="0.25"/>
    <row r="5" spans="2:11" x14ac:dyDescent="0.25">
      <c r="B5" s="514"/>
      <c r="C5" s="664"/>
      <c r="D5" s="666" t="s">
        <v>105</v>
      </c>
      <c r="E5" s="666" t="s">
        <v>104</v>
      </c>
      <c r="F5" s="666" t="s">
        <v>99</v>
      </c>
      <c r="G5" s="666" t="s">
        <v>98</v>
      </c>
      <c r="H5" s="666" t="s">
        <v>97</v>
      </c>
      <c r="I5" s="666" t="s">
        <v>113</v>
      </c>
      <c r="J5" s="666" t="s">
        <v>114</v>
      </c>
      <c r="K5" s="666" t="s">
        <v>169</v>
      </c>
    </row>
    <row r="6" spans="2:11" ht="15" customHeight="1" x14ac:dyDescent="0.25">
      <c r="B6" s="446"/>
      <c r="C6" s="693"/>
      <c r="D6" s="1114" t="s">
        <v>943</v>
      </c>
      <c r="E6" s="1114"/>
      <c r="F6" s="1114"/>
      <c r="G6" s="1114"/>
      <c r="H6" s="1114" t="s">
        <v>944</v>
      </c>
      <c r="I6" s="1114"/>
      <c r="J6" s="1114"/>
      <c r="K6" s="1114"/>
    </row>
    <row r="7" spans="2:11" ht="33" customHeight="1" x14ac:dyDescent="0.25">
      <c r="B7" s="446"/>
      <c r="C7" s="1115" t="s">
        <v>945</v>
      </c>
      <c r="D7" s="1114" t="s">
        <v>946</v>
      </c>
      <c r="E7" s="1114"/>
      <c r="F7" s="1114" t="s">
        <v>947</v>
      </c>
      <c r="G7" s="1114"/>
      <c r="H7" s="1114" t="s">
        <v>946</v>
      </c>
      <c r="I7" s="1114"/>
      <c r="J7" s="1114" t="s">
        <v>947</v>
      </c>
      <c r="K7" s="1114"/>
    </row>
    <row r="8" spans="2:11" x14ac:dyDescent="0.25">
      <c r="B8" s="446"/>
      <c r="C8" s="1116"/>
      <c r="D8" s="694" t="s">
        <v>948</v>
      </c>
      <c r="E8" s="694" t="s">
        <v>949</v>
      </c>
      <c r="F8" s="694" t="s">
        <v>948</v>
      </c>
      <c r="G8" s="694" t="s">
        <v>949</v>
      </c>
      <c r="H8" s="694" t="s">
        <v>948</v>
      </c>
      <c r="I8" s="694" t="s">
        <v>949</v>
      </c>
      <c r="J8" s="694" t="s">
        <v>948</v>
      </c>
      <c r="K8" s="694" t="s">
        <v>949</v>
      </c>
    </row>
    <row r="9" spans="2:11" s="697" customFormat="1" x14ac:dyDescent="0.25">
      <c r="B9" s="460">
        <v>1</v>
      </c>
      <c r="C9" s="695" t="s">
        <v>950</v>
      </c>
      <c r="D9" s="465">
        <v>0</v>
      </c>
      <c r="E9" s="465">
        <v>0</v>
      </c>
      <c r="F9" s="465">
        <v>0</v>
      </c>
      <c r="G9" s="465">
        <v>0</v>
      </c>
      <c r="H9" s="465">
        <v>0</v>
      </c>
      <c r="I9" s="465">
        <v>0</v>
      </c>
      <c r="J9" s="465">
        <v>0</v>
      </c>
      <c r="K9" s="465">
        <v>0</v>
      </c>
    </row>
    <row r="10" spans="2:11" s="697" customFormat="1" x14ac:dyDescent="0.25">
      <c r="B10" s="460">
        <v>2</v>
      </c>
      <c r="C10" s="9" t="s">
        <v>951</v>
      </c>
      <c r="D10" s="62">
        <v>0</v>
      </c>
      <c r="E10" s="62">
        <v>0</v>
      </c>
      <c r="F10" s="62">
        <v>0</v>
      </c>
      <c r="G10" s="62">
        <v>0</v>
      </c>
      <c r="H10" s="62">
        <v>0</v>
      </c>
      <c r="I10" s="62">
        <v>0</v>
      </c>
      <c r="J10" s="62">
        <v>0</v>
      </c>
      <c r="K10" s="62">
        <v>0</v>
      </c>
    </row>
    <row r="11" spans="2:11" s="697" customFormat="1" x14ac:dyDescent="0.25">
      <c r="B11" s="460">
        <v>3</v>
      </c>
      <c r="C11" s="9" t="s">
        <v>952</v>
      </c>
      <c r="D11" s="62">
        <v>0</v>
      </c>
      <c r="E11" s="62">
        <v>0</v>
      </c>
      <c r="F11" s="62">
        <v>0</v>
      </c>
      <c r="G11" s="62">
        <v>0</v>
      </c>
      <c r="H11" s="62">
        <v>0</v>
      </c>
      <c r="I11" s="62">
        <v>0</v>
      </c>
      <c r="J11" s="62">
        <v>0</v>
      </c>
      <c r="K11" s="62">
        <v>0</v>
      </c>
    </row>
    <row r="12" spans="2:11" s="697" customFormat="1" x14ac:dyDescent="0.25">
      <c r="B12" s="460">
        <v>4</v>
      </c>
      <c r="C12" s="9" t="s">
        <v>953</v>
      </c>
      <c r="D12" s="62">
        <v>0</v>
      </c>
      <c r="E12" s="62">
        <v>0</v>
      </c>
      <c r="F12" s="62">
        <v>0</v>
      </c>
      <c r="G12" s="62">
        <v>0</v>
      </c>
      <c r="H12" s="62">
        <v>0</v>
      </c>
      <c r="I12" s="62">
        <v>0</v>
      </c>
      <c r="J12" s="62">
        <v>0</v>
      </c>
      <c r="K12" s="62">
        <v>0</v>
      </c>
    </row>
    <row r="13" spans="2:11" s="697" customFormat="1" x14ac:dyDescent="0.25">
      <c r="B13" s="460">
        <v>5</v>
      </c>
      <c r="C13" s="9" t="s">
        <v>954</v>
      </c>
      <c r="D13" s="62">
        <v>0</v>
      </c>
      <c r="E13" s="62">
        <v>0</v>
      </c>
      <c r="F13" s="62">
        <v>0</v>
      </c>
      <c r="G13" s="62">
        <v>0</v>
      </c>
      <c r="H13" s="62">
        <v>0</v>
      </c>
      <c r="I13" s="62">
        <v>0</v>
      </c>
      <c r="J13" s="62">
        <v>0</v>
      </c>
      <c r="K13" s="62">
        <v>0</v>
      </c>
    </row>
    <row r="14" spans="2:11" s="697" customFormat="1" x14ac:dyDescent="0.25">
      <c r="B14" s="460">
        <v>6</v>
      </c>
      <c r="C14" s="9" t="s">
        <v>955</v>
      </c>
      <c r="D14" s="62">
        <v>0</v>
      </c>
      <c r="E14" s="62">
        <v>0</v>
      </c>
      <c r="F14" s="62">
        <v>0</v>
      </c>
      <c r="G14" s="62">
        <v>0</v>
      </c>
      <c r="H14" s="62">
        <v>0</v>
      </c>
      <c r="I14" s="62">
        <v>0</v>
      </c>
      <c r="J14" s="62">
        <v>0</v>
      </c>
      <c r="K14" s="62">
        <v>0</v>
      </c>
    </row>
    <row r="15" spans="2:11" s="697" customFormat="1" x14ac:dyDescent="0.25">
      <c r="B15" s="460">
        <v>7</v>
      </c>
      <c r="C15" s="9" t="s">
        <v>956</v>
      </c>
      <c r="D15" s="62">
        <v>0</v>
      </c>
      <c r="E15" s="62">
        <v>0</v>
      </c>
      <c r="F15" s="62">
        <v>0</v>
      </c>
      <c r="G15" s="62">
        <v>0</v>
      </c>
      <c r="H15" s="62">
        <v>0</v>
      </c>
      <c r="I15" s="62">
        <v>0</v>
      </c>
      <c r="J15" s="62">
        <v>0</v>
      </c>
      <c r="K15" s="62">
        <v>0</v>
      </c>
    </row>
    <row r="16" spans="2:11" s="697" customFormat="1" x14ac:dyDescent="0.25">
      <c r="B16" s="460">
        <v>8</v>
      </c>
      <c r="C16" s="9" t="s">
        <v>725</v>
      </c>
      <c r="D16" s="62">
        <v>0</v>
      </c>
      <c r="E16" s="62">
        <v>0</v>
      </c>
      <c r="F16" s="62">
        <v>0</v>
      </c>
      <c r="G16" s="62">
        <v>0</v>
      </c>
      <c r="H16" s="62">
        <v>0</v>
      </c>
      <c r="I16" s="62">
        <v>0</v>
      </c>
      <c r="J16" s="62">
        <v>0</v>
      </c>
      <c r="K16" s="62">
        <v>0</v>
      </c>
    </row>
    <row r="17" spans="2:14" s="697" customFormat="1" x14ac:dyDescent="0.25">
      <c r="B17" s="696">
        <v>9</v>
      </c>
      <c r="C17" s="60" t="s">
        <v>0</v>
      </c>
      <c r="D17" s="62">
        <v>0</v>
      </c>
      <c r="E17" s="62">
        <v>0</v>
      </c>
      <c r="F17" s="62">
        <v>0</v>
      </c>
      <c r="G17" s="62">
        <v>0</v>
      </c>
      <c r="H17" s="62">
        <v>0</v>
      </c>
      <c r="I17" s="62">
        <v>0</v>
      </c>
      <c r="J17" s="62">
        <v>0</v>
      </c>
      <c r="K17" s="62">
        <v>0</v>
      </c>
    </row>
    <row r="18" spans="2:14" s="697" customFormat="1" x14ac:dyDescent="0.25">
      <c r="C18" s="698"/>
      <c r="D18" s="698"/>
      <c r="E18" s="698"/>
      <c r="F18" s="698"/>
      <c r="G18" s="698"/>
      <c r="H18" s="698"/>
      <c r="I18" s="698"/>
      <c r="J18" s="698"/>
      <c r="K18" s="698"/>
    </row>
    <row r="19" spans="2:14" x14ac:dyDescent="0.25">
      <c r="N19" s="26"/>
    </row>
  </sheetData>
  <mergeCells count="7">
    <mergeCell ref="D6:G6"/>
    <mergeCell ref="H6:K6"/>
    <mergeCell ref="C7:C8"/>
    <mergeCell ref="D7:E7"/>
    <mergeCell ref="F7:G7"/>
    <mergeCell ref="H7:I7"/>
    <mergeCell ref="J7:K7"/>
  </mergeCells>
  <hyperlinks>
    <hyperlink ref="B2" location="Indhold!B52" display="Skema EU CCR5 — Sammensætning af sikkerhedsstillelse for modpartskreditrisikoeksponeringer" xr:uid="{342070C2-8B73-434C-9573-128A3626A631}"/>
  </hyperlinks>
  <pageMargins left="0.70866141732283472" right="0.70866141732283472" top="0.74803149606299213" bottom="0.74803149606299213" header="0.31496062992125984" footer="0.31496062992125984"/>
  <pageSetup paperSize="9" scale="90" fitToWidth="0" fitToHeight="0" orientation="landscape" r:id="rId1"/>
  <headerFooter>
    <oddHeader>&amp;CDA
Bilag XXV</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30B1-727B-4532-ACEB-99C5BF08DA34}">
  <sheetPr>
    <tabColor rgb="FF0070C0"/>
  </sheetPr>
  <dimension ref="B2:I16"/>
  <sheetViews>
    <sheetView showGridLines="0" zoomScaleNormal="100" workbookViewId="0">
      <selection activeCell="B2" sqref="B2"/>
    </sheetView>
  </sheetViews>
  <sheetFormatPr defaultColWidth="9.140625" defaultRowHeight="15" x14ac:dyDescent="0.25"/>
  <cols>
    <col min="1" max="2" width="9.140625" style="673"/>
    <col min="3" max="3" width="39.42578125" style="673" bestFit="1" customWidth="1"/>
    <col min="4" max="5" width="18.140625" style="673" customWidth="1"/>
    <col min="6" max="16384" width="9.140625" style="673"/>
  </cols>
  <sheetData>
    <row r="2" spans="2:9" x14ac:dyDescent="0.25">
      <c r="B2" s="878" t="s">
        <v>957</v>
      </c>
    </row>
    <row r="3" spans="2:9" ht="15" customHeight="1" x14ac:dyDescent="0.25">
      <c r="B3" s="674" t="s">
        <v>958</v>
      </c>
    </row>
    <row r="4" spans="2:9" ht="15" customHeight="1" x14ac:dyDescent="0.25">
      <c r="C4" s="676"/>
      <c r="D4" s="675"/>
      <c r="E4" s="675"/>
    </row>
    <row r="5" spans="2:9" ht="20.100000000000001" customHeight="1" x14ac:dyDescent="0.25">
      <c r="B5" s="702"/>
      <c r="C5" s="699"/>
      <c r="D5" s="470" t="s">
        <v>105</v>
      </c>
      <c r="E5" s="470" t="s">
        <v>104</v>
      </c>
    </row>
    <row r="6" spans="2:9" ht="20.100000000000001" customHeight="1" x14ac:dyDescent="0.25">
      <c r="B6" s="702"/>
      <c r="C6" s="699"/>
      <c r="D6" s="470" t="s">
        <v>959</v>
      </c>
      <c r="E6" s="470" t="s">
        <v>960</v>
      </c>
    </row>
    <row r="7" spans="2:9" ht="20.100000000000001" customHeight="1" x14ac:dyDescent="0.25">
      <c r="B7" s="1117" t="s">
        <v>961</v>
      </c>
      <c r="C7" s="1118"/>
      <c r="D7" s="700"/>
      <c r="E7" s="700"/>
      <c r="I7" s="26"/>
    </row>
    <row r="8" spans="2:9" ht="20.100000000000001" customHeight="1" x14ac:dyDescent="0.25">
      <c r="B8" s="656">
        <v>1</v>
      </c>
      <c r="C8" s="703" t="s">
        <v>962</v>
      </c>
      <c r="D8" s="61">
        <v>0</v>
      </c>
      <c r="E8" s="61">
        <v>0</v>
      </c>
    </row>
    <row r="9" spans="2:9" ht="20.100000000000001" customHeight="1" x14ac:dyDescent="0.25">
      <c r="B9" s="656">
        <v>2</v>
      </c>
      <c r="C9" s="703" t="s">
        <v>963</v>
      </c>
      <c r="D9" s="61">
        <v>0</v>
      </c>
      <c r="E9" s="61">
        <v>0</v>
      </c>
    </row>
    <row r="10" spans="2:9" ht="20.100000000000001" customHeight="1" x14ac:dyDescent="0.25">
      <c r="B10" s="656">
        <v>3</v>
      </c>
      <c r="C10" s="703" t="s">
        <v>964</v>
      </c>
      <c r="D10" s="61">
        <v>0</v>
      </c>
      <c r="E10" s="61">
        <v>0</v>
      </c>
    </row>
    <row r="11" spans="2:9" ht="20.100000000000001" customHeight="1" x14ac:dyDescent="0.25">
      <c r="B11" s="656">
        <v>4</v>
      </c>
      <c r="C11" s="703" t="s">
        <v>965</v>
      </c>
      <c r="D11" s="61">
        <v>0</v>
      </c>
      <c r="E11" s="61">
        <v>0</v>
      </c>
    </row>
    <row r="12" spans="2:9" ht="20.100000000000001" customHeight="1" x14ac:dyDescent="0.25">
      <c r="B12" s="656">
        <v>5</v>
      </c>
      <c r="C12" s="703" t="s">
        <v>966</v>
      </c>
      <c r="D12" s="61">
        <v>0</v>
      </c>
      <c r="E12" s="61">
        <v>0</v>
      </c>
    </row>
    <row r="13" spans="2:9" ht="20.100000000000001" customHeight="1" x14ac:dyDescent="0.25">
      <c r="B13" s="656">
        <v>6</v>
      </c>
      <c r="C13" s="701" t="s">
        <v>967</v>
      </c>
      <c r="D13" s="61">
        <v>0</v>
      </c>
      <c r="E13" s="61">
        <v>0</v>
      </c>
    </row>
    <row r="14" spans="2:9" ht="20.100000000000001" customHeight="1" x14ac:dyDescent="0.25">
      <c r="B14" s="1117" t="s">
        <v>968</v>
      </c>
      <c r="C14" s="1118"/>
      <c r="D14" s="532"/>
      <c r="E14" s="532"/>
    </row>
    <row r="15" spans="2:9" ht="20.100000000000001" customHeight="1" x14ac:dyDescent="0.25">
      <c r="B15" s="13">
        <v>7</v>
      </c>
      <c r="C15" s="703" t="s">
        <v>969</v>
      </c>
      <c r="D15" s="61">
        <v>0</v>
      </c>
      <c r="E15" s="61">
        <v>0</v>
      </c>
      <c r="I15" s="26"/>
    </row>
    <row r="16" spans="2:9" ht="20.100000000000001" customHeight="1" x14ac:dyDescent="0.25">
      <c r="B16" s="13">
        <v>8</v>
      </c>
      <c r="C16" s="703" t="s">
        <v>970</v>
      </c>
      <c r="D16" s="61">
        <v>0</v>
      </c>
      <c r="E16" s="61">
        <v>0</v>
      </c>
    </row>
  </sheetData>
  <mergeCells count="2">
    <mergeCell ref="B7:C7"/>
    <mergeCell ref="B14:C14"/>
  </mergeCells>
  <hyperlinks>
    <hyperlink ref="B2" location="Indhold!B53" display="Skema EU CCR6 – Eksponering for kreditderivater" xr:uid="{33282EF8-5373-4FE2-B74F-2742D86F7B51}"/>
  </hyperlinks>
  <pageMargins left="0.70866141732283472" right="0.70866141732283472" top="0.74803149606299213" bottom="0.74803149606299213" header="0.31496062992125984" footer="0.31496062992125984"/>
  <pageSetup paperSize="9" fitToWidth="0" fitToHeight="0" orientation="landscape" r:id="rId1"/>
  <headerFooter>
    <oddHeader>&amp;CDA
Bilag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794B8-B577-4BF1-ADE9-D7101BA09EF1}">
  <sheetPr>
    <tabColor rgb="FF0070C0"/>
    <pageSetUpPr fitToPage="1"/>
  </sheetPr>
  <dimension ref="B2:E26"/>
  <sheetViews>
    <sheetView showGridLines="0" zoomScaleNormal="100" workbookViewId="0">
      <selection activeCell="B2" sqref="B2"/>
    </sheetView>
  </sheetViews>
  <sheetFormatPr defaultColWidth="9.140625" defaultRowHeight="15" x14ac:dyDescent="0.25"/>
  <cols>
    <col min="1" max="2" width="9.140625" style="1"/>
    <col min="3" max="3" width="86.7109375" style="1" customWidth="1"/>
    <col min="4" max="4" width="16.85546875" style="1" customWidth="1"/>
    <col min="5" max="5" width="18.7109375" style="1" customWidth="1"/>
    <col min="6" max="16384" width="9.140625" style="1"/>
  </cols>
  <sheetData>
    <row r="2" spans="2:5" x14ac:dyDescent="0.25">
      <c r="B2" s="878" t="s">
        <v>981</v>
      </c>
    </row>
    <row r="3" spans="2:5" ht="15" customHeight="1" x14ac:dyDescent="0.25">
      <c r="B3" s="340" t="s">
        <v>909</v>
      </c>
    </row>
    <row r="4" spans="2:5" ht="15" customHeight="1" x14ac:dyDescent="0.25">
      <c r="B4" s="341"/>
      <c r="C4" s="342"/>
      <c r="D4" s="341"/>
      <c r="E4" s="341"/>
    </row>
    <row r="5" spans="2:5" ht="20.100000000000001" customHeight="1" x14ac:dyDescent="0.25">
      <c r="B5" s="835"/>
      <c r="C5" s="836"/>
      <c r="D5" s="839" t="s">
        <v>105</v>
      </c>
      <c r="E5" s="839" t="s">
        <v>104</v>
      </c>
    </row>
    <row r="6" spans="2:5" ht="30" customHeight="1" x14ac:dyDescent="0.25">
      <c r="B6" s="835"/>
      <c r="C6" s="836"/>
      <c r="D6" s="827" t="s">
        <v>982</v>
      </c>
      <c r="E6" s="827" t="s">
        <v>90</v>
      </c>
    </row>
    <row r="7" spans="2:5" ht="20.100000000000001" customHeight="1" x14ac:dyDescent="0.25">
      <c r="B7" s="339">
        <v>1</v>
      </c>
      <c r="C7" s="326" t="s">
        <v>983</v>
      </c>
      <c r="D7" s="837"/>
      <c r="E7" s="838">
        <v>0</v>
      </c>
    </row>
    <row r="8" spans="2:5" ht="29.25" customHeight="1" x14ac:dyDescent="0.25">
      <c r="B8" s="320">
        <v>2</v>
      </c>
      <c r="C8" s="322" t="s">
        <v>984</v>
      </c>
      <c r="D8" s="344">
        <v>0</v>
      </c>
      <c r="E8" s="344">
        <v>0</v>
      </c>
    </row>
    <row r="9" spans="2:5" ht="20.100000000000001" customHeight="1" x14ac:dyDescent="0.25">
      <c r="B9" s="320">
        <v>3</v>
      </c>
      <c r="C9" s="322" t="s">
        <v>985</v>
      </c>
      <c r="D9" s="344">
        <v>0</v>
      </c>
      <c r="E9" s="344">
        <v>0</v>
      </c>
    </row>
    <row r="10" spans="2:5" ht="20.100000000000001" customHeight="1" x14ac:dyDescent="0.25">
      <c r="B10" s="320">
        <v>4</v>
      </c>
      <c r="C10" s="322" t="s">
        <v>986</v>
      </c>
      <c r="D10" s="344">
        <v>0</v>
      </c>
      <c r="E10" s="344">
        <v>0</v>
      </c>
    </row>
    <row r="11" spans="2:5" ht="20.100000000000001" customHeight="1" x14ac:dyDescent="0.25">
      <c r="B11" s="320">
        <v>5</v>
      </c>
      <c r="C11" s="322" t="s">
        <v>987</v>
      </c>
      <c r="D11" s="344">
        <v>0</v>
      </c>
      <c r="E11" s="344">
        <v>0</v>
      </c>
    </row>
    <row r="12" spans="2:5" ht="20.100000000000001" customHeight="1" x14ac:dyDescent="0.25">
      <c r="B12" s="320">
        <v>6</v>
      </c>
      <c r="C12" s="322" t="s">
        <v>988</v>
      </c>
      <c r="D12" s="344">
        <v>0</v>
      </c>
      <c r="E12" s="344">
        <v>0</v>
      </c>
    </row>
    <row r="13" spans="2:5" ht="20.100000000000001" customHeight="1" x14ac:dyDescent="0.25">
      <c r="B13" s="320">
        <v>7</v>
      </c>
      <c r="C13" s="322" t="s">
        <v>989</v>
      </c>
      <c r="D13" s="344">
        <v>0</v>
      </c>
      <c r="E13" s="343"/>
    </row>
    <row r="14" spans="2:5" ht="20.100000000000001" customHeight="1" x14ac:dyDescent="0.25">
      <c r="B14" s="320">
        <v>8</v>
      </c>
      <c r="C14" s="322" t="s">
        <v>990</v>
      </c>
      <c r="D14" s="344">
        <v>0</v>
      </c>
      <c r="E14" s="344">
        <v>0</v>
      </c>
    </row>
    <row r="15" spans="2:5" ht="20.100000000000001" customHeight="1" x14ac:dyDescent="0.25">
      <c r="B15" s="320">
        <v>9</v>
      </c>
      <c r="C15" s="322" t="s">
        <v>991</v>
      </c>
      <c r="D15" s="344">
        <v>0</v>
      </c>
      <c r="E15" s="344">
        <v>0</v>
      </c>
    </row>
    <row r="16" spans="2:5" ht="20.100000000000001" customHeight="1" x14ac:dyDescent="0.25">
      <c r="B16" s="320">
        <v>10</v>
      </c>
      <c r="C16" s="322" t="s">
        <v>992</v>
      </c>
      <c r="D16" s="344">
        <v>0</v>
      </c>
      <c r="E16" s="344">
        <v>0</v>
      </c>
    </row>
    <row r="17" spans="2:5" ht="20.100000000000001" customHeight="1" x14ac:dyDescent="0.25">
      <c r="B17" s="339">
        <v>11</v>
      </c>
      <c r="C17" s="329" t="s">
        <v>993</v>
      </c>
      <c r="D17" s="343"/>
      <c r="E17" s="344">
        <v>0</v>
      </c>
    </row>
    <row r="18" spans="2:5" ht="32.25" customHeight="1" x14ac:dyDescent="0.25">
      <c r="B18" s="320">
        <v>12</v>
      </c>
      <c r="C18" s="322" t="s">
        <v>994</v>
      </c>
      <c r="D18" s="344">
        <v>0</v>
      </c>
      <c r="E18" s="344">
        <v>0</v>
      </c>
    </row>
    <row r="19" spans="2:5" ht="20.100000000000001" customHeight="1" x14ac:dyDescent="0.25">
      <c r="B19" s="320">
        <v>13</v>
      </c>
      <c r="C19" s="322" t="s">
        <v>985</v>
      </c>
      <c r="D19" s="344">
        <v>0</v>
      </c>
      <c r="E19" s="344">
        <v>0</v>
      </c>
    </row>
    <row r="20" spans="2:5" ht="20.100000000000001" customHeight="1" x14ac:dyDescent="0.25">
      <c r="B20" s="320">
        <v>14</v>
      </c>
      <c r="C20" s="322" t="s">
        <v>986</v>
      </c>
      <c r="D20" s="344">
        <v>0</v>
      </c>
      <c r="E20" s="344">
        <v>0</v>
      </c>
    </row>
    <row r="21" spans="2:5" ht="20.100000000000001" customHeight="1" x14ac:dyDescent="0.25">
      <c r="B21" s="320">
        <v>15</v>
      </c>
      <c r="C21" s="322" t="s">
        <v>987</v>
      </c>
      <c r="D21" s="344">
        <v>0</v>
      </c>
      <c r="E21" s="344">
        <v>0</v>
      </c>
    </row>
    <row r="22" spans="2:5" ht="20.100000000000001" customHeight="1" x14ac:dyDescent="0.25">
      <c r="B22" s="320">
        <v>16</v>
      </c>
      <c r="C22" s="322" t="s">
        <v>988</v>
      </c>
      <c r="D22" s="344">
        <v>0</v>
      </c>
      <c r="E22" s="344">
        <v>0</v>
      </c>
    </row>
    <row r="23" spans="2:5" ht="20.100000000000001" customHeight="1" x14ac:dyDescent="0.25">
      <c r="B23" s="320">
        <v>17</v>
      </c>
      <c r="C23" s="322" t="s">
        <v>989</v>
      </c>
      <c r="D23" s="344">
        <v>0</v>
      </c>
      <c r="E23" s="345"/>
    </row>
    <row r="24" spans="2:5" ht="20.100000000000001" customHeight="1" x14ac:dyDescent="0.25">
      <c r="B24" s="320">
        <v>18</v>
      </c>
      <c r="C24" s="322" t="s">
        <v>990</v>
      </c>
      <c r="D24" s="344">
        <v>0</v>
      </c>
      <c r="E24" s="344">
        <v>0</v>
      </c>
    </row>
    <row r="25" spans="2:5" ht="20.100000000000001" customHeight="1" x14ac:dyDescent="0.25">
      <c r="B25" s="320">
        <v>19</v>
      </c>
      <c r="C25" s="322" t="s">
        <v>991</v>
      </c>
      <c r="D25" s="344">
        <v>0</v>
      </c>
      <c r="E25" s="344">
        <v>0</v>
      </c>
    </row>
    <row r="26" spans="2:5" ht="20.100000000000001" customHeight="1" x14ac:dyDescent="0.25">
      <c r="B26" s="320">
        <v>20</v>
      </c>
      <c r="C26" s="322" t="s">
        <v>992</v>
      </c>
      <c r="D26" s="344">
        <v>0</v>
      </c>
      <c r="E26" s="344">
        <v>0</v>
      </c>
    </row>
  </sheetData>
  <hyperlinks>
    <hyperlink ref="B2" location="Indhold!B54" display="Skema EU CCR8 -Modpartskreditrisikoeksponeringer" xr:uid="{3ED92F64-36C0-47E9-9635-538FA00AB549}"/>
  </hyperlinks>
  <pageMargins left="0.70866141732283472" right="0.70866141732283472" top="0.74803149606299213" bottom="0.74803149606299213" header="0.31496062992125984" footer="0.31496062992125984"/>
  <pageSetup paperSize="9" scale="95" orientation="landscape" r:id="rId1"/>
  <headerFooter>
    <oddHeader>&amp;CDA 
Bilag XXV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9EAEB-AACE-4B24-A84E-858B7B219B05}">
  <sheetPr>
    <tabColor rgb="FF0070C0"/>
    <pageSetUpPr fitToPage="1"/>
  </sheetPr>
  <dimension ref="B2:R21"/>
  <sheetViews>
    <sheetView showGridLines="0" zoomScaleNormal="100" workbookViewId="0">
      <selection activeCell="B2" sqref="B2"/>
    </sheetView>
  </sheetViews>
  <sheetFormatPr defaultColWidth="9.140625" defaultRowHeight="15" x14ac:dyDescent="0.25"/>
  <cols>
    <col min="2" max="2" width="5.140625" customWidth="1"/>
    <col min="3" max="3" width="27.140625" customWidth="1"/>
    <col min="4" max="4" width="12.28515625" customWidth="1"/>
    <col min="5" max="5" width="30" bestFit="1" customWidth="1"/>
    <col min="6" max="6" width="12.28515625" customWidth="1"/>
    <col min="7" max="7" width="30" bestFit="1" customWidth="1"/>
    <col min="8" max="8" width="12.28515625" customWidth="1"/>
    <col min="9" max="9" width="15.7109375" customWidth="1"/>
    <col min="10" max="18" width="12.28515625" customWidth="1"/>
  </cols>
  <sheetData>
    <row r="2" spans="2:18" ht="18.75" x14ac:dyDescent="0.3">
      <c r="B2" s="878" t="s">
        <v>1048</v>
      </c>
      <c r="D2" s="422"/>
      <c r="E2" s="422"/>
      <c r="F2" s="422"/>
      <c r="G2" s="422"/>
      <c r="H2" s="422"/>
      <c r="I2" s="422"/>
      <c r="J2" s="422"/>
      <c r="K2" s="422"/>
      <c r="L2" s="422"/>
      <c r="M2" s="422"/>
      <c r="N2" s="422"/>
      <c r="O2" s="422"/>
      <c r="P2" s="422"/>
      <c r="Q2" s="422"/>
      <c r="R2" s="422"/>
    </row>
    <row r="5" spans="2:18" x14ac:dyDescent="0.25">
      <c r="B5" s="840"/>
      <c r="C5" s="842"/>
      <c r="D5" s="824" t="s">
        <v>105</v>
      </c>
      <c r="E5" s="824" t="s">
        <v>104</v>
      </c>
      <c r="F5" s="824" t="s">
        <v>99</v>
      </c>
      <c r="G5" s="824" t="s">
        <v>98</v>
      </c>
      <c r="H5" s="824" t="s">
        <v>97</v>
      </c>
      <c r="I5" s="824" t="s">
        <v>113</v>
      </c>
      <c r="J5" s="824" t="s">
        <v>114</v>
      </c>
      <c r="K5" s="824" t="s">
        <v>169</v>
      </c>
      <c r="L5" s="824" t="s">
        <v>328</v>
      </c>
      <c r="M5" s="824" t="s">
        <v>329</v>
      </c>
      <c r="N5" s="824" t="s">
        <v>330</v>
      </c>
      <c r="O5" s="824" t="s">
        <v>331</v>
      </c>
      <c r="P5" s="824" t="s">
        <v>332</v>
      </c>
      <c r="Q5" s="824" t="s">
        <v>359</v>
      </c>
      <c r="R5" s="824" t="s">
        <v>576</v>
      </c>
    </row>
    <row r="6" spans="2:18" x14ac:dyDescent="0.25">
      <c r="B6" s="840"/>
      <c r="C6" s="842"/>
      <c r="D6" s="1119" t="s">
        <v>996</v>
      </c>
      <c r="E6" s="1120"/>
      <c r="F6" s="1120"/>
      <c r="G6" s="1120"/>
      <c r="H6" s="1120"/>
      <c r="I6" s="1120"/>
      <c r="J6" s="1121"/>
      <c r="K6" s="1026" t="s">
        <v>997</v>
      </c>
      <c r="L6" s="1026"/>
      <c r="M6" s="1026"/>
      <c r="N6" s="1026"/>
      <c r="O6" s="1026" t="s">
        <v>998</v>
      </c>
      <c r="P6" s="1026"/>
      <c r="Q6" s="1026"/>
      <c r="R6" s="1026"/>
    </row>
    <row r="7" spans="2:18" x14ac:dyDescent="0.25">
      <c r="B7" s="840"/>
      <c r="C7" s="842"/>
      <c r="D7" s="1122" t="s">
        <v>999</v>
      </c>
      <c r="E7" s="1123"/>
      <c r="F7" s="1123"/>
      <c r="G7" s="1124"/>
      <c r="H7" s="1125" t="s">
        <v>1000</v>
      </c>
      <c r="I7" s="1126"/>
      <c r="J7" s="845" t="s">
        <v>1001</v>
      </c>
      <c r="K7" s="1125" t="s">
        <v>999</v>
      </c>
      <c r="L7" s="1126"/>
      <c r="M7" s="1017" t="s">
        <v>1000</v>
      </c>
      <c r="N7" s="845" t="s">
        <v>1001</v>
      </c>
      <c r="O7" s="1125" t="s">
        <v>999</v>
      </c>
      <c r="P7" s="1126"/>
      <c r="Q7" s="1017" t="s">
        <v>1000</v>
      </c>
      <c r="R7" s="1017" t="s">
        <v>1001</v>
      </c>
    </row>
    <row r="8" spans="2:18" x14ac:dyDescent="0.25">
      <c r="B8" s="840"/>
      <c r="C8" s="842"/>
      <c r="D8" s="1128" t="s">
        <v>1002</v>
      </c>
      <c r="E8" s="1129"/>
      <c r="F8" s="1130" t="s">
        <v>1003</v>
      </c>
      <c r="G8" s="1125"/>
      <c r="H8" s="1131"/>
      <c r="I8" s="1133" t="s">
        <v>1004</v>
      </c>
      <c r="J8" s="1127"/>
      <c r="K8" s="1017" t="s">
        <v>1002</v>
      </c>
      <c r="L8" s="1135" t="s">
        <v>1003</v>
      </c>
      <c r="M8" s="1127"/>
      <c r="N8" s="1127"/>
      <c r="O8" s="1017" t="s">
        <v>1002</v>
      </c>
      <c r="P8" s="1135" t="s">
        <v>1003</v>
      </c>
      <c r="Q8" s="1127"/>
      <c r="R8" s="1127"/>
    </row>
    <row r="9" spans="2:18" x14ac:dyDescent="0.25">
      <c r="B9" s="841"/>
      <c r="C9" s="841"/>
      <c r="D9" s="843"/>
      <c r="E9" s="824" t="s">
        <v>1004</v>
      </c>
      <c r="F9" s="844"/>
      <c r="G9" s="824" t="s">
        <v>1004</v>
      </c>
      <c r="H9" s="1132"/>
      <c r="I9" s="1134"/>
      <c r="J9" s="1018"/>
      <c r="K9" s="1018"/>
      <c r="L9" s="1136"/>
      <c r="M9" s="1018"/>
      <c r="N9" s="1018"/>
      <c r="O9" s="1018"/>
      <c r="P9" s="1136"/>
      <c r="Q9" s="1018"/>
      <c r="R9" s="1018"/>
    </row>
    <row r="10" spans="2:18" x14ac:dyDescent="0.25">
      <c r="B10" s="347">
        <v>1</v>
      </c>
      <c r="C10" s="348" t="s">
        <v>1005</v>
      </c>
      <c r="D10" s="346"/>
      <c r="E10" s="346"/>
      <c r="F10" s="346"/>
      <c r="G10" s="346"/>
      <c r="H10" s="334"/>
      <c r="I10" s="334"/>
      <c r="J10" s="334"/>
      <c r="K10" s="334"/>
      <c r="L10" s="334"/>
      <c r="M10" s="334"/>
      <c r="N10" s="334"/>
      <c r="O10" s="334"/>
      <c r="P10" s="334"/>
      <c r="Q10" s="334"/>
      <c r="R10" s="334"/>
    </row>
    <row r="11" spans="2:18" x14ac:dyDescent="0.25">
      <c r="B11" s="138">
        <v>2</v>
      </c>
      <c r="C11" s="349" t="s">
        <v>1006</v>
      </c>
      <c r="D11" s="311"/>
      <c r="E11" s="311"/>
      <c r="F11" s="311"/>
      <c r="G11" s="311"/>
      <c r="H11" s="311"/>
      <c r="I11" s="311"/>
      <c r="J11" s="311"/>
      <c r="K11" s="311"/>
      <c r="L11" s="311"/>
      <c r="M11" s="311"/>
      <c r="N11" s="311"/>
      <c r="O11" s="311"/>
      <c r="P11" s="311"/>
      <c r="Q11" s="311"/>
      <c r="R11" s="311"/>
    </row>
    <row r="12" spans="2:18" x14ac:dyDescent="0.25">
      <c r="B12" s="138">
        <v>3</v>
      </c>
      <c r="C12" s="350" t="s">
        <v>1007</v>
      </c>
      <c r="D12" s="350"/>
      <c r="E12" s="350"/>
      <c r="F12" s="350"/>
      <c r="G12" s="350"/>
      <c r="H12" s="350"/>
      <c r="I12" s="350"/>
      <c r="J12" s="350"/>
      <c r="K12" s="350"/>
      <c r="L12" s="350"/>
      <c r="M12" s="350"/>
      <c r="N12" s="350"/>
      <c r="O12" s="350"/>
      <c r="P12" s="350"/>
      <c r="Q12" s="350"/>
      <c r="R12" s="350"/>
    </row>
    <row r="13" spans="2:18" x14ac:dyDescent="0.25">
      <c r="B13" s="138">
        <v>4</v>
      </c>
      <c r="C13" s="350" t="s">
        <v>1008</v>
      </c>
      <c r="D13" s="350"/>
      <c r="E13" s="350"/>
      <c r="F13" s="350"/>
      <c r="G13" s="350"/>
      <c r="H13" s="350"/>
      <c r="I13" s="350"/>
      <c r="J13" s="350"/>
      <c r="K13" s="350"/>
      <c r="L13" s="350"/>
      <c r="M13" s="350"/>
      <c r="N13" s="350"/>
      <c r="O13" s="350"/>
      <c r="P13" s="350"/>
      <c r="Q13" s="350"/>
      <c r="R13" s="350"/>
    </row>
    <row r="14" spans="2:18" x14ac:dyDescent="0.25">
      <c r="B14" s="138">
        <v>5</v>
      </c>
      <c r="C14" s="350" t="s">
        <v>1009</v>
      </c>
      <c r="D14" s="350"/>
      <c r="E14" s="350"/>
      <c r="F14" s="350"/>
      <c r="G14" s="350"/>
      <c r="H14" s="350"/>
      <c r="I14" s="350"/>
      <c r="J14" s="350"/>
      <c r="K14" s="350"/>
      <c r="L14" s="350"/>
      <c r="M14" s="350"/>
      <c r="N14" s="350"/>
      <c r="O14" s="350"/>
      <c r="P14" s="350"/>
      <c r="Q14" s="350"/>
      <c r="R14" s="350"/>
    </row>
    <row r="15" spans="2:18" x14ac:dyDescent="0.25">
      <c r="B15" s="138">
        <v>6</v>
      </c>
      <c r="C15" s="350" t="s">
        <v>1010</v>
      </c>
      <c r="D15" s="350"/>
      <c r="E15" s="350"/>
      <c r="F15" s="350"/>
      <c r="G15" s="350"/>
      <c r="H15" s="350"/>
      <c r="I15" s="350"/>
      <c r="J15" s="350"/>
      <c r="K15" s="350"/>
      <c r="L15" s="350"/>
      <c r="M15" s="350"/>
      <c r="N15" s="350"/>
      <c r="O15" s="350"/>
      <c r="P15" s="350"/>
      <c r="Q15" s="350"/>
      <c r="R15" s="350"/>
    </row>
    <row r="16" spans="2:18" x14ac:dyDescent="0.25">
      <c r="B16" s="138">
        <v>7</v>
      </c>
      <c r="C16" s="351" t="s">
        <v>1011</v>
      </c>
      <c r="D16" s="311"/>
      <c r="E16" s="311"/>
      <c r="F16" s="311"/>
      <c r="G16" s="311"/>
      <c r="H16" s="311"/>
      <c r="I16" s="311"/>
      <c r="J16" s="311"/>
      <c r="K16" s="311"/>
      <c r="L16" s="311"/>
      <c r="M16" s="311"/>
      <c r="N16" s="311"/>
      <c r="O16" s="311"/>
      <c r="P16" s="311"/>
      <c r="Q16" s="311"/>
      <c r="R16" s="311"/>
    </row>
    <row r="17" spans="2:18" x14ac:dyDescent="0.25">
      <c r="B17" s="138">
        <v>8</v>
      </c>
      <c r="C17" s="350" t="s">
        <v>1012</v>
      </c>
      <c r="D17" s="350"/>
      <c r="E17" s="350"/>
      <c r="F17" s="350"/>
      <c r="G17" s="350"/>
      <c r="H17" s="350"/>
      <c r="I17" s="350"/>
      <c r="J17" s="350"/>
      <c r="K17" s="350"/>
      <c r="L17" s="350"/>
      <c r="M17" s="350"/>
      <c r="N17" s="350"/>
      <c r="O17" s="350"/>
      <c r="P17" s="350"/>
      <c r="Q17" s="350"/>
      <c r="R17" s="350"/>
    </row>
    <row r="18" spans="2:18" x14ac:dyDescent="0.25">
      <c r="B18" s="138">
        <v>9</v>
      </c>
      <c r="C18" s="350" t="s">
        <v>1013</v>
      </c>
      <c r="D18" s="350"/>
      <c r="E18" s="350"/>
      <c r="F18" s="350"/>
      <c r="G18" s="350"/>
      <c r="H18" s="350"/>
      <c r="I18" s="350"/>
      <c r="J18" s="350"/>
      <c r="K18" s="350"/>
      <c r="L18" s="350"/>
      <c r="M18" s="350"/>
      <c r="N18" s="350"/>
      <c r="O18" s="350"/>
      <c r="P18" s="350"/>
      <c r="Q18" s="350"/>
      <c r="R18" s="350"/>
    </row>
    <row r="19" spans="2:18" x14ac:dyDescent="0.25">
      <c r="B19" s="138">
        <v>10</v>
      </c>
      <c r="C19" s="350" t="s">
        <v>1014</v>
      </c>
      <c r="D19" s="350"/>
      <c r="E19" s="350"/>
      <c r="F19" s="350"/>
      <c r="G19" s="350"/>
      <c r="H19" s="350"/>
      <c r="I19" s="350"/>
      <c r="J19" s="350"/>
      <c r="K19" s="350"/>
      <c r="L19" s="350"/>
      <c r="M19" s="350"/>
      <c r="N19" s="350"/>
      <c r="O19" s="350"/>
      <c r="P19" s="350"/>
      <c r="Q19" s="350"/>
      <c r="R19" s="350"/>
    </row>
    <row r="20" spans="2:18" x14ac:dyDescent="0.25">
      <c r="B20" s="138">
        <v>11</v>
      </c>
      <c r="C20" s="350" t="s">
        <v>1015</v>
      </c>
      <c r="D20" s="350"/>
      <c r="E20" s="350"/>
      <c r="F20" s="350"/>
      <c r="G20" s="350"/>
      <c r="H20" s="350"/>
      <c r="I20" s="350"/>
      <c r="J20" s="350"/>
      <c r="K20" s="350"/>
      <c r="L20" s="350"/>
      <c r="M20" s="350"/>
      <c r="N20" s="350"/>
      <c r="O20" s="350"/>
      <c r="P20" s="350"/>
      <c r="Q20" s="350"/>
      <c r="R20" s="350"/>
    </row>
    <row r="21" spans="2:18" x14ac:dyDescent="0.25">
      <c r="B21" s="138">
        <v>12</v>
      </c>
      <c r="C21" s="350" t="s">
        <v>1010</v>
      </c>
      <c r="D21" s="350"/>
      <c r="E21" s="350"/>
      <c r="F21" s="350"/>
      <c r="G21" s="350"/>
      <c r="H21" s="350"/>
      <c r="I21" s="350"/>
      <c r="J21" s="350"/>
      <c r="K21" s="350"/>
      <c r="L21" s="350"/>
      <c r="M21" s="350"/>
      <c r="N21" s="350"/>
      <c r="O21" s="350"/>
      <c r="P21" s="350"/>
      <c r="Q21" s="350"/>
      <c r="R21" s="350"/>
    </row>
  </sheetData>
  <mergeCells count="20">
    <mergeCell ref="N8:N9"/>
    <mergeCell ref="O8:O9"/>
    <mergeCell ref="P8:P9"/>
    <mergeCell ref="K8:K9"/>
    <mergeCell ref="D6:J6"/>
    <mergeCell ref="K6:N6"/>
    <mergeCell ref="O6:R6"/>
    <mergeCell ref="D7:G7"/>
    <mergeCell ref="H7:I7"/>
    <mergeCell ref="K7:L7"/>
    <mergeCell ref="M7:M9"/>
    <mergeCell ref="O7:P7"/>
    <mergeCell ref="Q7:Q9"/>
    <mergeCell ref="D8:E8"/>
    <mergeCell ref="F8:G8"/>
    <mergeCell ref="H8:H9"/>
    <mergeCell ref="I8:I9"/>
    <mergeCell ref="J8:J9"/>
    <mergeCell ref="R7:R9"/>
    <mergeCell ref="L8:L9"/>
  </mergeCells>
  <hyperlinks>
    <hyperlink ref="B2:R2" location="Indhold!B64" display="Skema EU-SEC1 - Securitiseringseksponeringer uden for handelsbeholdningen" xr:uid="{163C9AEF-714C-472D-A1F3-83180AEE01B9}"/>
    <hyperlink ref="B2" location="Indhold!B55" display="Skema EU-SEC1 - Securitiseringseksponeringer uden for handelsbeholdningen" xr:uid="{C84C1701-E71E-4EB8-B440-E26A095C9FAB}"/>
  </hyperlinks>
  <pageMargins left="0.70866141732283472" right="0.70866141732283472" top="0.74803149606299213" bottom="0.74803149606299213" header="0.31496062992125984" footer="0.31496062992125984"/>
  <pageSetup paperSize="9" scale="60" orientation="landscape" cellComments="asDisplayed" r:id="rId1"/>
  <headerFooter>
    <oddHeader>&amp;CDA
Bilag XXVII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1C8F-5239-4033-BD32-332F63B642C4}">
  <sheetPr>
    <tabColor rgb="FF0070C0"/>
    <pageSetUpPr fitToPage="1"/>
  </sheetPr>
  <dimension ref="B2:R20"/>
  <sheetViews>
    <sheetView showGridLines="0" zoomScaleNormal="100" workbookViewId="0">
      <selection activeCell="B2" sqref="B2"/>
    </sheetView>
  </sheetViews>
  <sheetFormatPr defaultColWidth="9.140625" defaultRowHeight="15" x14ac:dyDescent="0.25"/>
  <cols>
    <col min="2" max="2" width="5.28515625" customWidth="1"/>
    <col min="3" max="3" width="27.140625" customWidth="1"/>
    <col min="4" max="7" width="13.7109375" customWidth="1"/>
    <col min="8" max="13" width="12.28515625" customWidth="1"/>
    <col min="14" max="14" width="15.85546875" customWidth="1"/>
  </cols>
  <sheetData>
    <row r="2" spans="2:18" ht="18.75" x14ac:dyDescent="0.3">
      <c r="B2" s="878" t="s">
        <v>1016</v>
      </c>
      <c r="D2" s="422"/>
      <c r="E2" s="422"/>
      <c r="F2" s="422"/>
      <c r="G2" s="422"/>
      <c r="H2" s="422"/>
      <c r="I2" s="422"/>
      <c r="J2" s="422"/>
      <c r="K2" s="422"/>
      <c r="L2" s="422"/>
      <c r="M2" s="422"/>
      <c r="N2" s="422"/>
      <c r="O2" s="422"/>
      <c r="P2" s="422"/>
      <c r="Q2" s="422"/>
      <c r="R2" s="422"/>
    </row>
    <row r="5" spans="2:18" x14ac:dyDescent="0.25">
      <c r="B5" s="840"/>
      <c r="C5" s="842"/>
      <c r="D5" s="824" t="s">
        <v>105</v>
      </c>
      <c r="E5" s="824" t="s">
        <v>104</v>
      </c>
      <c r="F5" s="824" t="s">
        <v>99</v>
      </c>
      <c r="G5" s="824" t="s">
        <v>98</v>
      </c>
      <c r="H5" s="824" t="s">
        <v>97</v>
      </c>
      <c r="I5" s="824" t="s">
        <v>113</v>
      </c>
      <c r="J5" s="824" t="s">
        <v>114</v>
      </c>
      <c r="K5" s="824" t="s">
        <v>169</v>
      </c>
      <c r="L5" s="824" t="s">
        <v>328</v>
      </c>
      <c r="M5" s="824" t="s">
        <v>329</v>
      </c>
      <c r="N5" s="824" t="s">
        <v>330</v>
      </c>
      <c r="O5" s="824" t="s">
        <v>331</v>
      </c>
    </row>
    <row r="6" spans="2:18" x14ac:dyDescent="0.25">
      <c r="B6" s="840"/>
      <c r="C6" s="842"/>
      <c r="D6" s="1026" t="s">
        <v>996</v>
      </c>
      <c r="E6" s="1026"/>
      <c r="F6" s="1026"/>
      <c r="G6" s="1026"/>
      <c r="H6" s="1026" t="s">
        <v>997</v>
      </c>
      <c r="I6" s="1026"/>
      <c r="J6" s="1026"/>
      <c r="K6" s="1026"/>
      <c r="L6" s="1026" t="s">
        <v>998</v>
      </c>
      <c r="M6" s="1026"/>
      <c r="N6" s="1026"/>
      <c r="O6" s="1026"/>
    </row>
    <row r="7" spans="2:18" x14ac:dyDescent="0.25">
      <c r="B7" s="840"/>
      <c r="C7" s="842"/>
      <c r="D7" s="1122" t="s">
        <v>999</v>
      </c>
      <c r="E7" s="1124"/>
      <c r="F7" s="1017" t="s">
        <v>1000</v>
      </c>
      <c r="G7" s="1017" t="s">
        <v>1001</v>
      </c>
      <c r="H7" s="1125" t="s">
        <v>999</v>
      </c>
      <c r="I7" s="1126"/>
      <c r="J7" s="1017" t="s">
        <v>1000</v>
      </c>
      <c r="K7" s="1017" t="s">
        <v>1001</v>
      </c>
      <c r="L7" s="1125" t="s">
        <v>999</v>
      </c>
      <c r="M7" s="1126"/>
      <c r="N7" s="1017" t="s">
        <v>1000</v>
      </c>
      <c r="O7" s="1017" t="s">
        <v>1001</v>
      </c>
    </row>
    <row r="8" spans="2:18" x14ac:dyDescent="0.25">
      <c r="B8" s="841"/>
      <c r="C8" s="841"/>
      <c r="D8" s="824" t="s">
        <v>1002</v>
      </c>
      <c r="E8" s="848" t="s">
        <v>1003</v>
      </c>
      <c r="F8" s="1018"/>
      <c r="G8" s="1018"/>
      <c r="H8" s="819" t="s">
        <v>1002</v>
      </c>
      <c r="I8" s="849" t="s">
        <v>1003</v>
      </c>
      <c r="J8" s="1127"/>
      <c r="K8" s="1127"/>
      <c r="L8" s="819" t="s">
        <v>1002</v>
      </c>
      <c r="M8" s="849" t="s">
        <v>1003</v>
      </c>
      <c r="N8" s="1127"/>
      <c r="O8" s="1127"/>
    </row>
    <row r="9" spans="2:18" x14ac:dyDescent="0.25">
      <c r="B9" s="347">
        <v>1</v>
      </c>
      <c r="C9" s="348" t="s">
        <v>1005</v>
      </c>
      <c r="D9" s="847"/>
      <c r="E9" s="847"/>
      <c r="F9" s="334"/>
      <c r="G9" s="821"/>
      <c r="H9" s="821"/>
      <c r="I9" s="821"/>
      <c r="J9" s="334"/>
      <c r="K9" s="821"/>
      <c r="L9" s="821"/>
      <c r="M9" s="821"/>
      <c r="N9" s="334"/>
      <c r="O9" s="821"/>
    </row>
    <row r="10" spans="2:18" x14ac:dyDescent="0.25">
      <c r="B10" s="138">
        <v>2</v>
      </c>
      <c r="C10" s="352" t="s">
        <v>1006</v>
      </c>
      <c r="D10" s="311"/>
      <c r="E10" s="311"/>
      <c r="F10" s="311"/>
      <c r="G10" s="311"/>
      <c r="H10" s="311"/>
      <c r="I10" s="311"/>
      <c r="J10" s="311"/>
      <c r="K10" s="311"/>
      <c r="L10" s="311"/>
      <c r="M10" s="311"/>
      <c r="N10" s="311"/>
      <c r="O10" s="311"/>
    </row>
    <row r="11" spans="2:18" x14ac:dyDescent="0.25">
      <c r="B11" s="138">
        <v>3</v>
      </c>
      <c r="C11" s="353" t="s">
        <v>1007</v>
      </c>
      <c r="D11" s="350"/>
      <c r="E11" s="350"/>
      <c r="F11" s="350"/>
      <c r="G11" s="350"/>
      <c r="H11" s="350"/>
      <c r="I11" s="350"/>
      <c r="J11" s="350"/>
      <c r="K11" s="350"/>
      <c r="L11" s="350"/>
      <c r="M11" s="350"/>
      <c r="N11" s="350"/>
      <c r="O11" s="350"/>
    </row>
    <row r="12" spans="2:18" x14ac:dyDescent="0.25">
      <c r="B12" s="138">
        <v>4</v>
      </c>
      <c r="C12" s="353" t="s">
        <v>1008</v>
      </c>
      <c r="D12" s="350"/>
      <c r="E12" s="350"/>
      <c r="F12" s="350"/>
      <c r="G12" s="350"/>
      <c r="H12" s="350"/>
      <c r="I12" s="350"/>
      <c r="J12" s="350"/>
      <c r="K12" s="350"/>
      <c r="L12" s="350"/>
      <c r="M12" s="350"/>
      <c r="N12" s="350"/>
      <c r="O12" s="350"/>
    </row>
    <row r="13" spans="2:18" x14ac:dyDescent="0.25">
      <c r="B13" s="138">
        <v>5</v>
      </c>
      <c r="C13" s="353" t="s">
        <v>1009</v>
      </c>
      <c r="D13" s="350"/>
      <c r="E13" s="350"/>
      <c r="F13" s="350"/>
      <c r="G13" s="350"/>
      <c r="H13" s="350"/>
      <c r="I13" s="350"/>
      <c r="J13" s="350"/>
      <c r="K13" s="350"/>
      <c r="L13" s="350"/>
      <c r="M13" s="350"/>
      <c r="N13" s="350"/>
      <c r="O13" s="350"/>
    </row>
    <row r="14" spans="2:18" x14ac:dyDescent="0.25">
      <c r="B14" s="138">
        <v>6</v>
      </c>
      <c r="C14" s="353" t="s">
        <v>1010</v>
      </c>
      <c r="D14" s="350"/>
      <c r="E14" s="350"/>
      <c r="F14" s="350"/>
      <c r="G14" s="350"/>
      <c r="H14" s="350"/>
      <c r="I14" s="350"/>
      <c r="J14" s="350"/>
      <c r="K14" s="350"/>
      <c r="L14" s="350"/>
      <c r="M14" s="350"/>
      <c r="N14" s="350"/>
      <c r="O14" s="350"/>
    </row>
    <row r="15" spans="2:18" ht="15.75" customHeight="1" x14ac:dyDescent="0.25">
      <c r="B15" s="138">
        <v>7</v>
      </c>
      <c r="C15" s="352" t="s">
        <v>1011</v>
      </c>
      <c r="D15" s="311"/>
      <c r="E15" s="311"/>
      <c r="F15" s="311"/>
      <c r="G15" s="311"/>
      <c r="H15" s="311"/>
      <c r="I15" s="311"/>
      <c r="J15" s="311"/>
      <c r="K15" s="311"/>
      <c r="L15" s="311"/>
      <c r="M15" s="311"/>
      <c r="N15" s="311"/>
      <c r="O15" s="311"/>
    </row>
    <row r="16" spans="2:18" x14ac:dyDescent="0.25">
      <c r="B16" s="138">
        <v>8</v>
      </c>
      <c r="C16" s="353" t="s">
        <v>1012</v>
      </c>
      <c r="D16" s="350"/>
      <c r="E16" s="350"/>
      <c r="F16" s="350"/>
      <c r="G16" s="350"/>
      <c r="H16" s="350"/>
      <c r="I16" s="350"/>
      <c r="J16" s="350"/>
      <c r="K16" s="350"/>
      <c r="L16" s="350"/>
      <c r="M16" s="350"/>
      <c r="N16" s="350"/>
      <c r="O16" s="350"/>
    </row>
    <row r="17" spans="2:15" x14ac:dyDescent="0.25">
      <c r="B17" s="138">
        <v>9</v>
      </c>
      <c r="C17" s="353" t="s">
        <v>1013</v>
      </c>
      <c r="D17" s="350"/>
      <c r="E17" s="350"/>
      <c r="F17" s="350"/>
      <c r="G17" s="350"/>
      <c r="H17" s="350"/>
      <c r="I17" s="350"/>
      <c r="J17" s="350"/>
      <c r="K17" s="350"/>
      <c r="L17" s="350"/>
      <c r="M17" s="350"/>
      <c r="N17" s="350"/>
      <c r="O17" s="350"/>
    </row>
    <row r="18" spans="2:15" x14ac:dyDescent="0.25">
      <c r="B18" s="138">
        <v>10</v>
      </c>
      <c r="C18" s="353" t="s">
        <v>1014</v>
      </c>
      <c r="D18" s="350"/>
      <c r="E18" s="350"/>
      <c r="F18" s="350"/>
      <c r="G18" s="350"/>
      <c r="H18" s="350"/>
      <c r="I18" s="350"/>
      <c r="J18" s="350"/>
      <c r="K18" s="350"/>
      <c r="L18" s="350"/>
      <c r="M18" s="350"/>
      <c r="N18" s="350"/>
      <c r="O18" s="350"/>
    </row>
    <row r="19" spans="2:15" x14ac:dyDescent="0.25">
      <c r="B19" s="138">
        <v>11</v>
      </c>
      <c r="C19" s="353" t="s">
        <v>1015</v>
      </c>
      <c r="D19" s="350"/>
      <c r="E19" s="350"/>
      <c r="F19" s="350"/>
      <c r="G19" s="350"/>
      <c r="H19" s="350"/>
      <c r="I19" s="350"/>
      <c r="J19" s="350"/>
      <c r="K19" s="350"/>
      <c r="L19" s="350"/>
      <c r="M19" s="350"/>
      <c r="N19" s="350"/>
      <c r="O19" s="350"/>
    </row>
    <row r="20" spans="2:15" x14ac:dyDescent="0.25">
      <c r="B20" s="138">
        <v>12</v>
      </c>
      <c r="C20" s="353" t="s">
        <v>1010</v>
      </c>
      <c r="D20" s="350"/>
      <c r="E20" s="350"/>
      <c r="F20" s="350"/>
      <c r="G20" s="350"/>
      <c r="H20" s="350"/>
      <c r="I20" s="350"/>
      <c r="J20" s="350"/>
      <c r="K20" s="350"/>
      <c r="L20" s="350"/>
      <c r="M20" s="350"/>
      <c r="N20" s="350"/>
      <c r="O20" s="350"/>
    </row>
  </sheetData>
  <mergeCells count="12">
    <mergeCell ref="D6:G6"/>
    <mergeCell ref="H6:K6"/>
    <mergeCell ref="L6:O6"/>
    <mergeCell ref="D7:E7"/>
    <mergeCell ref="F7:F8"/>
    <mergeCell ref="H7:I7"/>
    <mergeCell ref="J7:J8"/>
    <mergeCell ref="L7:M7"/>
    <mergeCell ref="N7:N8"/>
    <mergeCell ref="K7:K8"/>
    <mergeCell ref="O7:O8"/>
    <mergeCell ref="G7:G8"/>
  </mergeCells>
  <hyperlinks>
    <hyperlink ref="B2" location="Indhold!B56" display="Skema EU-SEC2 - Securitiseringseksponeringer i handelsbeholdningen" xr:uid="{79BDBEEB-D0A7-4D63-83FC-7D9F49351177}"/>
  </hyperlinks>
  <pageMargins left="0.70866141732283472" right="0.70866141732283472" top="0.74803149606299213" bottom="0.74803149606299213" header="0.31496062992125984" footer="0.31496062992125984"/>
  <pageSetup paperSize="9" scale="72" orientation="landscape" cellComments="asDisplayed" verticalDpi="598" r:id="rId1"/>
  <headerFooter>
    <oddHeader>&amp;CDA
Bilag XXVII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2752-CBA3-46EA-A3D2-9B43B933C1DB}">
  <dimension ref="A1:G44"/>
  <sheetViews>
    <sheetView showGridLines="0" zoomScaleNormal="100" workbookViewId="0">
      <selection activeCell="B2" sqref="B2"/>
    </sheetView>
  </sheetViews>
  <sheetFormatPr defaultColWidth="9.140625" defaultRowHeight="15" x14ac:dyDescent="0.25"/>
  <cols>
    <col min="1" max="1" width="4.85546875" style="1" customWidth="1"/>
    <col min="2" max="2" width="7.85546875" style="1" customWidth="1"/>
    <col min="3" max="3" width="64.42578125" style="1" customWidth="1"/>
    <col min="4" max="4" width="13.85546875" style="2" customWidth="1"/>
    <col min="5" max="5" width="14.140625" style="2" customWidth="1"/>
    <col min="6" max="6" width="17.42578125" style="1" customWidth="1"/>
    <col min="7" max="7" width="9.140625" style="1" customWidth="1"/>
    <col min="8" max="16384" width="9.140625" style="1"/>
  </cols>
  <sheetData>
    <row r="1" spans="1:6" x14ac:dyDescent="0.25">
      <c r="A1" s="7"/>
      <c r="B1" s="7"/>
      <c r="C1" s="7"/>
      <c r="D1" s="7"/>
      <c r="E1" s="7"/>
      <c r="F1" s="7"/>
    </row>
    <row r="2" spans="1:6" ht="18.75" x14ac:dyDescent="0.3">
      <c r="A2" s="7"/>
      <c r="B2" s="422" t="s">
        <v>36</v>
      </c>
      <c r="D2" s="1"/>
      <c r="E2" s="1"/>
    </row>
    <row r="3" spans="1:6" x14ac:dyDescent="0.25">
      <c r="A3" s="7"/>
      <c r="D3" s="1"/>
      <c r="E3" s="1"/>
    </row>
    <row r="4" spans="1:6" x14ac:dyDescent="0.25">
      <c r="A4" s="7"/>
      <c r="D4" s="1"/>
      <c r="E4" s="1"/>
    </row>
    <row r="5" spans="1:6" ht="45" x14ac:dyDescent="0.25">
      <c r="A5" s="7"/>
      <c r="B5" s="889"/>
      <c r="C5" s="890"/>
      <c r="D5" s="887" t="s">
        <v>35</v>
      </c>
      <c r="E5" s="888"/>
      <c r="F5" s="470" t="s">
        <v>1252</v>
      </c>
    </row>
    <row r="6" spans="1:6" x14ac:dyDescent="0.25">
      <c r="A6" s="7"/>
      <c r="B6" s="889"/>
      <c r="C6" s="890"/>
      <c r="D6" s="778" t="s">
        <v>1464</v>
      </c>
      <c r="E6" s="778" t="s">
        <v>1464</v>
      </c>
      <c r="F6" s="470" t="s">
        <v>34</v>
      </c>
    </row>
    <row r="7" spans="1:6" x14ac:dyDescent="0.25">
      <c r="A7" s="7"/>
      <c r="B7" s="891"/>
      <c r="C7" s="891"/>
      <c r="D7" s="470">
        <v>2022</v>
      </c>
      <c r="E7" s="470">
        <v>2021</v>
      </c>
      <c r="F7" s="470">
        <v>2022</v>
      </c>
    </row>
    <row r="8" spans="1:6" x14ac:dyDescent="0.25">
      <c r="A8" s="7"/>
      <c r="B8" s="10">
        <v>1</v>
      </c>
      <c r="C8" s="9" t="s">
        <v>33</v>
      </c>
      <c r="D8" s="689">
        <f>(3115206909-1851650)/1000</f>
        <v>3113355.2590000001</v>
      </c>
      <c r="E8" s="689">
        <f>(2885426952-1315312)/1000</f>
        <v>2884111.64</v>
      </c>
      <c r="F8" s="689">
        <f t="shared" ref="F8:F19" si="0">+D8*0.08</f>
        <v>249068.42072000002</v>
      </c>
    </row>
    <row r="9" spans="1:6" x14ac:dyDescent="0.25">
      <c r="A9" s="7"/>
      <c r="B9" s="10">
        <v>2</v>
      </c>
      <c r="C9" s="11" t="s">
        <v>5</v>
      </c>
      <c r="D9" s="3">
        <f>+D8</f>
        <v>3113355.2590000001</v>
      </c>
      <c r="E9" s="3">
        <f>+E8</f>
        <v>2884111.64</v>
      </c>
      <c r="F9" s="3">
        <f t="shared" si="0"/>
        <v>249068.42072000002</v>
      </c>
    </row>
    <row r="10" spans="1:6" ht="30" x14ac:dyDescent="0.25">
      <c r="A10" s="7"/>
      <c r="B10" s="10">
        <v>3</v>
      </c>
      <c r="C10" s="11" t="s">
        <v>32</v>
      </c>
      <c r="D10" s="3">
        <v>0</v>
      </c>
      <c r="E10" s="3">
        <v>0</v>
      </c>
      <c r="F10" s="3">
        <f t="shared" si="0"/>
        <v>0</v>
      </c>
    </row>
    <row r="11" spans="1:6" x14ac:dyDescent="0.25">
      <c r="A11" s="7"/>
      <c r="B11" s="10">
        <v>4</v>
      </c>
      <c r="C11" s="11" t="s">
        <v>31</v>
      </c>
      <c r="D11" s="3">
        <v>0</v>
      </c>
      <c r="E11" s="3">
        <v>0</v>
      </c>
      <c r="F11" s="3">
        <f t="shared" si="0"/>
        <v>0</v>
      </c>
    </row>
    <row r="12" spans="1:6" x14ac:dyDescent="0.25">
      <c r="A12" s="7"/>
      <c r="B12" s="10" t="s">
        <v>30</v>
      </c>
      <c r="C12" s="11" t="s">
        <v>29</v>
      </c>
      <c r="D12" s="3">
        <v>0</v>
      </c>
      <c r="E12" s="3">
        <v>0</v>
      </c>
      <c r="F12" s="3">
        <f t="shared" si="0"/>
        <v>0</v>
      </c>
    </row>
    <row r="13" spans="1:6" ht="30" x14ac:dyDescent="0.25">
      <c r="A13" s="7"/>
      <c r="B13" s="10">
        <v>5</v>
      </c>
      <c r="C13" s="11" t="s">
        <v>28</v>
      </c>
      <c r="D13" s="3">
        <v>0</v>
      </c>
      <c r="E13" s="3">
        <v>0</v>
      </c>
      <c r="F13" s="3">
        <f t="shared" si="0"/>
        <v>0</v>
      </c>
    </row>
    <row r="14" spans="1:6" x14ac:dyDescent="0.25">
      <c r="A14" s="7"/>
      <c r="B14" s="10">
        <v>6</v>
      </c>
      <c r="C14" s="9" t="s">
        <v>27</v>
      </c>
      <c r="D14" s="3">
        <f>(1851650+1989189)/1000</f>
        <v>3840.8389999999999</v>
      </c>
      <c r="E14" s="3">
        <f>(1315312+154571)/1000</f>
        <v>1469.883</v>
      </c>
      <c r="F14" s="3">
        <f t="shared" si="0"/>
        <v>307.26711999999998</v>
      </c>
    </row>
    <row r="15" spans="1:6" x14ac:dyDescent="0.25">
      <c r="A15" s="7"/>
      <c r="B15" s="10">
        <v>7</v>
      </c>
      <c r="C15" s="11" t="s">
        <v>5</v>
      </c>
      <c r="D15" s="3">
        <v>0</v>
      </c>
      <c r="E15" s="3">
        <v>0</v>
      </c>
      <c r="F15" s="3">
        <f t="shared" si="0"/>
        <v>0</v>
      </c>
    </row>
    <row r="16" spans="1:6" x14ac:dyDescent="0.25">
      <c r="A16" s="7"/>
      <c r="B16" s="10">
        <v>8</v>
      </c>
      <c r="C16" s="11" t="s">
        <v>26</v>
      </c>
      <c r="D16" s="3">
        <v>0</v>
      </c>
      <c r="E16" s="3">
        <v>0</v>
      </c>
      <c r="F16" s="3">
        <f t="shared" si="0"/>
        <v>0</v>
      </c>
    </row>
    <row r="17" spans="1:7" x14ac:dyDescent="0.25">
      <c r="A17" s="7"/>
      <c r="B17" s="10" t="s">
        <v>25</v>
      </c>
      <c r="C17" s="11" t="s">
        <v>24</v>
      </c>
      <c r="D17" s="3">
        <v>0</v>
      </c>
      <c r="E17" s="3">
        <v>0</v>
      </c>
      <c r="F17" s="3">
        <f t="shared" si="0"/>
        <v>0</v>
      </c>
      <c r="G17" s="12"/>
    </row>
    <row r="18" spans="1:7" x14ac:dyDescent="0.25">
      <c r="A18" s="7"/>
      <c r="B18" s="10" t="s">
        <v>23</v>
      </c>
      <c r="C18" s="11" t="s">
        <v>22</v>
      </c>
      <c r="D18" s="3">
        <f>1989189/1000</f>
        <v>1989.1890000000001</v>
      </c>
      <c r="E18" s="3">
        <f>154571/1000</f>
        <v>154.571</v>
      </c>
      <c r="F18" s="3">
        <f t="shared" si="0"/>
        <v>159.13512</v>
      </c>
    </row>
    <row r="19" spans="1:7" x14ac:dyDescent="0.25">
      <c r="A19" s="7"/>
      <c r="B19" s="10">
        <v>9</v>
      </c>
      <c r="C19" s="11" t="s">
        <v>21</v>
      </c>
      <c r="D19" s="3">
        <f>1851650/1000</f>
        <v>1851.65</v>
      </c>
      <c r="E19" s="3">
        <f>1315312/1000</f>
        <v>1315.3119999999999</v>
      </c>
      <c r="F19" s="3">
        <f t="shared" si="0"/>
        <v>148.13200000000001</v>
      </c>
    </row>
    <row r="20" spans="1:7" x14ac:dyDescent="0.25">
      <c r="A20" s="7"/>
      <c r="B20" s="10">
        <v>10</v>
      </c>
      <c r="C20" s="9" t="s">
        <v>1</v>
      </c>
      <c r="D20" s="8"/>
      <c r="E20" s="8"/>
      <c r="F20" s="8"/>
    </row>
    <row r="21" spans="1:7" x14ac:dyDescent="0.25">
      <c r="A21" s="7"/>
      <c r="B21" s="10">
        <v>11</v>
      </c>
      <c r="C21" s="9" t="s">
        <v>1</v>
      </c>
      <c r="D21" s="8"/>
      <c r="E21" s="8"/>
      <c r="F21" s="8"/>
    </row>
    <row r="22" spans="1:7" x14ac:dyDescent="0.25">
      <c r="A22" s="7"/>
      <c r="B22" s="10">
        <v>12</v>
      </c>
      <c r="C22" s="9" t="s">
        <v>1</v>
      </c>
      <c r="D22" s="8"/>
      <c r="E22" s="8"/>
      <c r="F22" s="8"/>
    </row>
    <row r="23" spans="1:7" x14ac:dyDescent="0.25">
      <c r="A23" s="7"/>
      <c r="B23" s="10">
        <v>13</v>
      </c>
      <c r="C23" s="9" t="s">
        <v>1</v>
      </c>
      <c r="D23" s="8"/>
      <c r="E23" s="8"/>
      <c r="F23" s="8"/>
    </row>
    <row r="24" spans="1:7" x14ac:dyDescent="0.25">
      <c r="A24" s="7"/>
      <c r="B24" s="10">
        <v>14</v>
      </c>
      <c r="C24" s="9" t="s">
        <v>1</v>
      </c>
      <c r="D24" s="8"/>
      <c r="E24" s="8"/>
      <c r="F24" s="8"/>
    </row>
    <row r="25" spans="1:7" x14ac:dyDescent="0.25">
      <c r="A25" s="7"/>
      <c r="B25" s="10">
        <v>15</v>
      </c>
      <c r="C25" s="9" t="s">
        <v>20</v>
      </c>
      <c r="D25" s="3">
        <v>0</v>
      </c>
      <c r="E25" s="3">
        <v>0</v>
      </c>
      <c r="F25" s="3">
        <f t="shared" ref="F25:F39" si="1">+D25*0.08</f>
        <v>0</v>
      </c>
    </row>
    <row r="26" spans="1:7" ht="15" customHeight="1" x14ac:dyDescent="0.25">
      <c r="A26" s="7"/>
      <c r="B26" s="10">
        <v>16</v>
      </c>
      <c r="C26" s="9" t="s">
        <v>19</v>
      </c>
      <c r="D26" s="3">
        <v>0</v>
      </c>
      <c r="E26" s="3">
        <v>0</v>
      </c>
      <c r="F26" s="3">
        <f t="shared" si="1"/>
        <v>0</v>
      </c>
    </row>
    <row r="27" spans="1:7" x14ac:dyDescent="0.25">
      <c r="A27" s="7"/>
      <c r="B27" s="10">
        <v>17</v>
      </c>
      <c r="C27" s="11" t="s">
        <v>18</v>
      </c>
      <c r="D27" s="3">
        <v>0</v>
      </c>
      <c r="E27" s="3">
        <v>0</v>
      </c>
      <c r="F27" s="3">
        <f t="shared" si="1"/>
        <v>0</v>
      </c>
    </row>
    <row r="28" spans="1:7" x14ac:dyDescent="0.25">
      <c r="A28" s="7"/>
      <c r="B28" s="10">
        <v>18</v>
      </c>
      <c r="C28" s="11" t="s">
        <v>17</v>
      </c>
      <c r="D28" s="3">
        <v>0</v>
      </c>
      <c r="E28" s="3">
        <v>0</v>
      </c>
      <c r="F28" s="3">
        <f t="shared" si="1"/>
        <v>0</v>
      </c>
    </row>
    <row r="29" spans="1:7" x14ac:dyDescent="0.25">
      <c r="A29" s="7"/>
      <c r="B29" s="10">
        <v>19</v>
      </c>
      <c r="C29" s="11" t="s">
        <v>16</v>
      </c>
      <c r="D29" s="3">
        <v>0</v>
      </c>
      <c r="E29" s="3">
        <v>0</v>
      </c>
      <c r="F29" s="3">
        <f t="shared" si="1"/>
        <v>0</v>
      </c>
    </row>
    <row r="30" spans="1:7" x14ac:dyDescent="0.25">
      <c r="A30" s="7"/>
      <c r="B30" s="10" t="s">
        <v>15</v>
      </c>
      <c r="C30" s="11" t="s">
        <v>14</v>
      </c>
      <c r="D30" s="3">
        <v>0</v>
      </c>
      <c r="E30" s="3">
        <v>0</v>
      </c>
      <c r="F30" s="3">
        <f t="shared" si="1"/>
        <v>0</v>
      </c>
    </row>
    <row r="31" spans="1:7" x14ac:dyDescent="0.25">
      <c r="A31" s="7"/>
      <c r="B31" s="10">
        <v>20</v>
      </c>
      <c r="C31" s="9" t="s">
        <v>13</v>
      </c>
      <c r="D31" s="3">
        <f>475969114/1000</f>
        <v>475969.114</v>
      </c>
      <c r="E31" s="3">
        <f>513128982/1000</f>
        <v>513128.98200000002</v>
      </c>
      <c r="F31" s="3">
        <f t="shared" si="1"/>
        <v>38077.529119999999</v>
      </c>
    </row>
    <row r="32" spans="1:7" x14ac:dyDescent="0.25">
      <c r="A32" s="7"/>
      <c r="B32" s="10">
        <v>21</v>
      </c>
      <c r="C32" s="11" t="s">
        <v>5</v>
      </c>
      <c r="D32" s="3">
        <f>+D31</f>
        <v>475969.114</v>
      </c>
      <c r="E32" s="3">
        <f>+E31</f>
        <v>513128.98200000002</v>
      </c>
      <c r="F32" s="3">
        <f t="shared" si="1"/>
        <v>38077.529119999999</v>
      </c>
    </row>
    <row r="33" spans="1:6" x14ac:dyDescent="0.25">
      <c r="A33" s="7"/>
      <c r="B33" s="10">
        <v>22</v>
      </c>
      <c r="C33" s="11" t="s">
        <v>12</v>
      </c>
      <c r="D33" s="3">
        <v>0</v>
      </c>
      <c r="E33" s="3">
        <v>0</v>
      </c>
      <c r="F33" s="3">
        <f t="shared" si="1"/>
        <v>0</v>
      </c>
    </row>
    <row r="34" spans="1:6" x14ac:dyDescent="0.25">
      <c r="A34" s="7"/>
      <c r="B34" s="10" t="s">
        <v>11</v>
      </c>
      <c r="C34" s="9" t="s">
        <v>10</v>
      </c>
      <c r="D34" s="3">
        <v>0</v>
      </c>
      <c r="E34" s="3">
        <v>0</v>
      </c>
      <c r="F34" s="3">
        <f t="shared" si="1"/>
        <v>0</v>
      </c>
    </row>
    <row r="35" spans="1:6" x14ac:dyDescent="0.25">
      <c r="A35" s="7"/>
      <c r="B35" s="10">
        <v>23</v>
      </c>
      <c r="C35" s="9" t="s">
        <v>9</v>
      </c>
      <c r="D35" s="8">
        <f>508437389/1000</f>
        <v>508437.38900000002</v>
      </c>
      <c r="E35" s="8">
        <f>522118929/1000</f>
        <v>522118.929</v>
      </c>
      <c r="F35" s="3">
        <f t="shared" si="1"/>
        <v>40674.991120000006</v>
      </c>
    </row>
    <row r="36" spans="1:6" x14ac:dyDescent="0.25">
      <c r="A36" s="7"/>
      <c r="B36" s="10" t="s">
        <v>8</v>
      </c>
      <c r="C36" s="9" t="s">
        <v>7</v>
      </c>
      <c r="D36" s="3">
        <f>+D35</f>
        <v>508437.38900000002</v>
      </c>
      <c r="E36" s="3">
        <f>+E35</f>
        <v>522118.929</v>
      </c>
      <c r="F36" s="3">
        <f t="shared" si="1"/>
        <v>40674.991120000006</v>
      </c>
    </row>
    <row r="37" spans="1:6" x14ac:dyDescent="0.25">
      <c r="A37" s="7"/>
      <c r="B37" s="10" t="s">
        <v>6</v>
      </c>
      <c r="C37" s="9" t="s">
        <v>5</v>
      </c>
      <c r="D37" s="3">
        <v>0</v>
      </c>
      <c r="E37" s="3">
        <v>0</v>
      </c>
      <c r="F37" s="3">
        <f t="shared" si="1"/>
        <v>0</v>
      </c>
    </row>
    <row r="38" spans="1:6" x14ac:dyDescent="0.25">
      <c r="A38" s="7"/>
      <c r="B38" s="10" t="s">
        <v>4</v>
      </c>
      <c r="C38" s="9" t="s">
        <v>3</v>
      </c>
      <c r="D38" s="3">
        <v>0</v>
      </c>
      <c r="E38" s="3">
        <v>0</v>
      </c>
      <c r="F38" s="3">
        <f t="shared" si="1"/>
        <v>0</v>
      </c>
    </row>
    <row r="39" spans="1:6" ht="30" x14ac:dyDescent="0.25">
      <c r="A39" s="7"/>
      <c r="B39" s="10">
        <v>24</v>
      </c>
      <c r="C39" s="9" t="s">
        <v>2</v>
      </c>
      <c r="D39" s="3">
        <v>0</v>
      </c>
      <c r="E39" s="3">
        <v>0</v>
      </c>
      <c r="F39" s="3">
        <f t="shared" si="1"/>
        <v>0</v>
      </c>
    </row>
    <row r="40" spans="1:6" x14ac:dyDescent="0.25">
      <c r="A40" s="7"/>
      <c r="B40" s="10">
        <v>25</v>
      </c>
      <c r="C40" s="9" t="s">
        <v>1</v>
      </c>
      <c r="D40" s="8"/>
      <c r="E40" s="8"/>
      <c r="F40" s="8"/>
    </row>
    <row r="41" spans="1:6" x14ac:dyDescent="0.25">
      <c r="A41" s="7"/>
      <c r="B41" s="10">
        <v>26</v>
      </c>
      <c r="C41" s="9" t="s">
        <v>1</v>
      </c>
      <c r="D41" s="8"/>
      <c r="E41" s="8"/>
      <c r="F41" s="8"/>
    </row>
    <row r="42" spans="1:6" x14ac:dyDescent="0.25">
      <c r="A42" s="7"/>
      <c r="B42" s="10">
        <v>27</v>
      </c>
      <c r="C42" s="9" t="s">
        <v>1</v>
      </c>
      <c r="D42" s="8"/>
      <c r="E42" s="8"/>
      <c r="F42" s="8"/>
    </row>
    <row r="43" spans="1:6" x14ac:dyDescent="0.25">
      <c r="A43" s="7"/>
      <c r="B43" s="10">
        <v>28</v>
      </c>
      <c r="C43" s="9" t="s">
        <v>1</v>
      </c>
      <c r="D43" s="8"/>
      <c r="E43" s="8"/>
      <c r="F43" s="8"/>
    </row>
    <row r="44" spans="1:6" x14ac:dyDescent="0.25">
      <c r="A44" s="7"/>
      <c r="B44" s="6">
        <v>29</v>
      </c>
      <c r="C44" s="5" t="s">
        <v>0</v>
      </c>
      <c r="D44" s="4">
        <f>+D8+D14+D25+D26+D31+D34+D35</f>
        <v>4101602.6010000003</v>
      </c>
      <c r="E44" s="4">
        <f>+E8+E14+E25+E26+E31+E34+E35</f>
        <v>3920829.4339999999</v>
      </c>
      <c r="F44" s="3">
        <f>+D44*0.08</f>
        <v>328128.20808000001</v>
      </c>
    </row>
  </sheetData>
  <mergeCells count="2">
    <mergeCell ref="D5:E5"/>
    <mergeCell ref="B5:C7"/>
  </mergeCells>
  <hyperlinks>
    <hyperlink ref="B2" location="Indhold!B4" display="Skema EU OV1 – Oversigt over samlede risikoeksponeringer" xr:uid="{3494BFF6-8210-47A4-9089-286BC6490730}"/>
  </hyperlinks>
  <pageMargins left="0.7" right="0.7" top="0.75" bottom="0.75" header="0.3" footer="0.3"/>
  <pageSetup paperSize="9" orientation="landscape" r:id="rId1"/>
  <headerFooter>
    <oddHeader>&amp;CDA
Bilag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A3CA4-A059-48D8-A12B-2CB2535DAD44}">
  <sheetPr>
    <tabColor rgb="FF0070C0"/>
    <pageSetUpPr fitToPage="1"/>
  </sheetPr>
  <dimension ref="B2:U22"/>
  <sheetViews>
    <sheetView showGridLines="0" zoomScaleNormal="100" zoomScalePageLayoutView="70" workbookViewId="0">
      <selection activeCell="B2" sqref="B2"/>
    </sheetView>
  </sheetViews>
  <sheetFormatPr defaultColWidth="9.140625" defaultRowHeight="15" x14ac:dyDescent="0.25"/>
  <cols>
    <col min="2" max="2" width="5.140625" customWidth="1"/>
    <col min="3" max="4" width="13.7109375" customWidth="1"/>
    <col min="5" max="9" width="13.42578125" customWidth="1"/>
    <col min="10" max="13" width="15.42578125" customWidth="1"/>
    <col min="14" max="17" width="17.28515625" customWidth="1"/>
    <col min="18" max="21" width="13.42578125" customWidth="1"/>
  </cols>
  <sheetData>
    <row r="2" spans="2:21" ht="18.75" x14ac:dyDescent="0.3">
      <c r="B2" s="878" t="s">
        <v>1017</v>
      </c>
      <c r="D2" s="422"/>
      <c r="E2" s="422"/>
      <c r="F2" s="422"/>
      <c r="G2" s="422"/>
      <c r="H2" s="422"/>
      <c r="I2" s="422"/>
      <c r="J2" s="422"/>
      <c r="K2" s="422"/>
      <c r="L2" s="422"/>
      <c r="M2" s="422"/>
      <c r="N2" s="422"/>
      <c r="O2" s="422"/>
      <c r="P2" s="422"/>
      <c r="Q2" s="422"/>
      <c r="R2" s="422"/>
    </row>
    <row r="3" spans="2:21" ht="15" customHeight="1" x14ac:dyDescent="0.3">
      <c r="C3" s="354"/>
      <c r="D3" s="355"/>
      <c r="E3" s="355"/>
      <c r="F3" s="355"/>
      <c r="G3" s="355"/>
      <c r="H3" s="355"/>
      <c r="I3" s="355"/>
      <c r="J3" s="355"/>
      <c r="K3" s="355"/>
      <c r="L3" s="355"/>
      <c r="M3" s="57"/>
      <c r="N3" s="57"/>
    </row>
    <row r="4" spans="2:21" ht="15" customHeight="1" x14ac:dyDescent="0.25"/>
    <row r="5" spans="2:21" x14ac:dyDescent="0.25">
      <c r="B5" s="444"/>
      <c r="C5" s="444"/>
      <c r="D5" s="444"/>
      <c r="E5" s="824" t="s">
        <v>105</v>
      </c>
      <c r="F5" s="824" t="s">
        <v>104</v>
      </c>
      <c r="G5" s="824" t="s">
        <v>99</v>
      </c>
      <c r="H5" s="824" t="s">
        <v>98</v>
      </c>
      <c r="I5" s="824" t="s">
        <v>97</v>
      </c>
      <c r="J5" s="824" t="s">
        <v>113</v>
      </c>
      <c r="K5" s="824" t="s">
        <v>114</v>
      </c>
      <c r="L5" s="824" t="s">
        <v>169</v>
      </c>
      <c r="M5" s="824" t="s">
        <v>328</v>
      </c>
      <c r="N5" s="824" t="s">
        <v>329</v>
      </c>
      <c r="O5" s="824" t="s">
        <v>330</v>
      </c>
      <c r="P5" s="824" t="s">
        <v>331</v>
      </c>
      <c r="Q5" s="824" t="s">
        <v>332</v>
      </c>
      <c r="R5" s="824" t="s">
        <v>359</v>
      </c>
      <c r="S5" s="824" t="s">
        <v>576</v>
      </c>
      <c r="T5" s="824" t="s">
        <v>1018</v>
      </c>
      <c r="U5" s="824" t="s">
        <v>1019</v>
      </c>
    </row>
    <row r="6" spans="2:21" x14ac:dyDescent="0.25">
      <c r="B6" s="444"/>
      <c r="C6" s="444"/>
      <c r="D6" s="444"/>
      <c r="E6" s="1138" t="s">
        <v>1020</v>
      </c>
      <c r="F6" s="1026"/>
      <c r="G6" s="1026"/>
      <c r="H6" s="1026"/>
      <c r="I6" s="1026"/>
      <c r="J6" s="1026" t="s">
        <v>1021</v>
      </c>
      <c r="K6" s="1026"/>
      <c r="L6" s="1026"/>
      <c r="M6" s="1026"/>
      <c r="N6" s="1026" t="s">
        <v>1022</v>
      </c>
      <c r="O6" s="1026"/>
      <c r="P6" s="1026"/>
      <c r="Q6" s="1026"/>
      <c r="R6" s="1026" t="s">
        <v>1023</v>
      </c>
      <c r="S6" s="1026"/>
      <c r="T6" s="1026"/>
      <c r="U6" s="1026"/>
    </row>
    <row r="7" spans="2:21" s="94" customFormat="1" ht="45" x14ac:dyDescent="0.25">
      <c r="B7" s="840"/>
      <c r="C7" s="840"/>
      <c r="D7" s="840"/>
      <c r="E7" s="574" t="s">
        <v>1024</v>
      </c>
      <c r="F7" s="574" t="s">
        <v>1025</v>
      </c>
      <c r="G7" s="574" t="s">
        <v>1026</v>
      </c>
      <c r="H7" s="574" t="s">
        <v>1027</v>
      </c>
      <c r="I7" s="574" t="s">
        <v>1028</v>
      </c>
      <c r="J7" s="574" t="s">
        <v>1029</v>
      </c>
      <c r="K7" s="574" t="s">
        <v>1030</v>
      </c>
      <c r="L7" s="574" t="s">
        <v>1031</v>
      </c>
      <c r="M7" s="851" t="s">
        <v>1028</v>
      </c>
      <c r="N7" s="574" t="s">
        <v>1029</v>
      </c>
      <c r="O7" s="574" t="s">
        <v>1030</v>
      </c>
      <c r="P7" s="574" t="s">
        <v>1031</v>
      </c>
      <c r="Q7" s="851" t="s">
        <v>1032</v>
      </c>
      <c r="R7" s="574" t="s">
        <v>1029</v>
      </c>
      <c r="S7" s="574" t="s">
        <v>1030</v>
      </c>
      <c r="T7" s="574" t="s">
        <v>1031</v>
      </c>
      <c r="U7" s="851" t="s">
        <v>1032</v>
      </c>
    </row>
    <row r="8" spans="2:21" x14ac:dyDescent="0.25">
      <c r="B8" s="356">
        <v>1</v>
      </c>
      <c r="C8" s="1139" t="s">
        <v>1005</v>
      </c>
      <c r="D8" s="1139"/>
      <c r="E8" s="850"/>
      <c r="F8" s="850"/>
      <c r="G8" s="850"/>
      <c r="H8" s="850"/>
      <c r="I8" s="850"/>
      <c r="J8" s="850"/>
      <c r="K8" s="850"/>
      <c r="L8" s="850"/>
      <c r="M8" s="850"/>
      <c r="N8" s="850"/>
      <c r="O8" s="850"/>
      <c r="P8" s="850"/>
      <c r="Q8" s="850"/>
      <c r="R8" s="850"/>
      <c r="S8" s="850"/>
      <c r="T8" s="850"/>
      <c r="U8" s="850"/>
    </row>
    <row r="9" spans="2:21" x14ac:dyDescent="0.25">
      <c r="B9" s="311">
        <v>2</v>
      </c>
      <c r="C9" s="1137" t="s">
        <v>1033</v>
      </c>
      <c r="D9" s="1137"/>
      <c r="E9" s="350"/>
      <c r="F9" s="350"/>
      <c r="G9" s="350"/>
      <c r="H9" s="350"/>
      <c r="I9" s="350"/>
      <c r="J9" s="350"/>
      <c r="K9" s="350"/>
      <c r="L9" s="350"/>
      <c r="M9" s="350"/>
      <c r="N9" s="350"/>
      <c r="O9" s="350"/>
      <c r="P9" s="350"/>
      <c r="Q9" s="350"/>
      <c r="R9" s="350"/>
      <c r="S9" s="350"/>
      <c r="T9" s="350"/>
      <c r="U9" s="350"/>
    </row>
    <row r="10" spans="2:21" x14ac:dyDescent="0.25">
      <c r="B10" s="311">
        <v>3</v>
      </c>
      <c r="C10" s="1137" t="s">
        <v>1034</v>
      </c>
      <c r="D10" s="1137"/>
      <c r="E10" s="350"/>
      <c r="F10" s="350"/>
      <c r="G10" s="350"/>
      <c r="H10" s="350"/>
      <c r="I10" s="350"/>
      <c r="J10" s="350"/>
      <c r="K10" s="350"/>
      <c r="L10" s="350"/>
      <c r="M10" s="350"/>
      <c r="N10" s="350"/>
      <c r="O10" s="350"/>
      <c r="P10" s="350"/>
      <c r="Q10" s="350"/>
      <c r="R10" s="350"/>
      <c r="S10" s="350"/>
      <c r="T10" s="350"/>
      <c r="U10" s="350"/>
    </row>
    <row r="11" spans="2:21" x14ac:dyDescent="0.25">
      <c r="B11" s="311">
        <v>4</v>
      </c>
      <c r="C11" s="1137" t="s">
        <v>1035</v>
      </c>
      <c r="D11" s="1137"/>
      <c r="E11" s="350"/>
      <c r="F11" s="350"/>
      <c r="G11" s="350"/>
      <c r="H11" s="350"/>
      <c r="I11" s="350"/>
      <c r="J11" s="350"/>
      <c r="K11" s="350"/>
      <c r="L11" s="350"/>
      <c r="M11" s="350"/>
      <c r="N11" s="350"/>
      <c r="O11" s="350"/>
      <c r="P11" s="350"/>
      <c r="Q11" s="350"/>
      <c r="R11" s="350"/>
      <c r="S11" s="350"/>
      <c r="T11" s="350"/>
      <c r="U11" s="350"/>
    </row>
    <row r="12" spans="2:21" x14ac:dyDescent="0.25">
      <c r="B12" s="311">
        <v>5</v>
      </c>
      <c r="C12" s="1140" t="s">
        <v>1036</v>
      </c>
      <c r="D12" s="1140"/>
      <c r="E12" s="350"/>
      <c r="F12" s="350"/>
      <c r="G12" s="350"/>
      <c r="H12" s="350"/>
      <c r="I12" s="350"/>
      <c r="J12" s="350"/>
      <c r="K12" s="350"/>
      <c r="L12" s="350"/>
      <c r="M12" s="350"/>
      <c r="N12" s="350"/>
      <c r="O12" s="350"/>
      <c r="P12" s="350"/>
      <c r="Q12" s="350"/>
      <c r="R12" s="350"/>
      <c r="S12" s="350"/>
      <c r="T12" s="350"/>
      <c r="U12" s="350"/>
    </row>
    <row r="13" spans="2:21" x14ac:dyDescent="0.25">
      <c r="B13" s="311">
        <v>6</v>
      </c>
      <c r="C13" s="1137" t="s">
        <v>1037</v>
      </c>
      <c r="D13" s="1137"/>
      <c r="E13" s="350"/>
      <c r="F13" s="350"/>
      <c r="G13" s="350"/>
      <c r="H13" s="350"/>
      <c r="I13" s="350"/>
      <c r="J13" s="350"/>
      <c r="K13" s="350"/>
      <c r="L13" s="350"/>
      <c r="M13" s="350"/>
      <c r="N13" s="350"/>
      <c r="O13" s="350"/>
      <c r="P13" s="350"/>
      <c r="Q13" s="350"/>
      <c r="R13" s="350"/>
      <c r="S13" s="350"/>
      <c r="T13" s="350"/>
      <c r="U13" s="350"/>
    </row>
    <row r="14" spans="2:21" x14ac:dyDescent="0.25">
      <c r="B14" s="311">
        <v>7</v>
      </c>
      <c r="C14" s="1140" t="s">
        <v>1036</v>
      </c>
      <c r="D14" s="1140"/>
      <c r="E14" s="350"/>
      <c r="F14" s="350"/>
      <c r="G14" s="350"/>
      <c r="H14" s="350"/>
      <c r="I14" s="350"/>
      <c r="J14" s="350"/>
      <c r="K14" s="350"/>
      <c r="L14" s="350"/>
      <c r="M14" s="350"/>
      <c r="N14" s="350"/>
      <c r="O14" s="350"/>
      <c r="P14" s="350"/>
      <c r="Q14" s="350"/>
      <c r="R14" s="350"/>
      <c r="S14" s="350"/>
      <c r="T14" s="350"/>
      <c r="U14" s="350"/>
    </row>
    <row r="15" spans="2:21" x14ac:dyDescent="0.25">
      <c r="B15" s="311">
        <v>8</v>
      </c>
      <c r="C15" s="1137" t="s">
        <v>1038</v>
      </c>
      <c r="D15" s="1137"/>
      <c r="E15" s="350"/>
      <c r="F15" s="350"/>
      <c r="G15" s="350"/>
      <c r="H15" s="350"/>
      <c r="I15" s="350"/>
      <c r="J15" s="350"/>
      <c r="K15" s="350"/>
      <c r="L15" s="350"/>
      <c r="M15" s="350"/>
      <c r="N15" s="350"/>
      <c r="O15" s="350"/>
      <c r="P15" s="350"/>
      <c r="Q15" s="350"/>
      <c r="R15" s="350"/>
      <c r="S15" s="350"/>
      <c r="T15" s="350"/>
      <c r="U15" s="350"/>
    </row>
    <row r="16" spans="2:21" x14ac:dyDescent="0.25">
      <c r="B16" s="311">
        <v>9</v>
      </c>
      <c r="C16" s="1137" t="s">
        <v>1039</v>
      </c>
      <c r="D16" s="1137"/>
      <c r="E16" s="350"/>
      <c r="F16" s="350"/>
      <c r="G16" s="350"/>
      <c r="H16" s="350"/>
      <c r="I16" s="350"/>
      <c r="J16" s="350"/>
      <c r="K16" s="350"/>
      <c r="L16" s="350"/>
      <c r="M16" s="350"/>
      <c r="N16" s="350"/>
      <c r="O16" s="350"/>
      <c r="P16" s="350"/>
      <c r="Q16" s="350"/>
      <c r="R16" s="350"/>
      <c r="S16" s="350"/>
      <c r="T16" s="350"/>
      <c r="U16" s="350"/>
    </row>
    <row r="17" spans="2:21" x14ac:dyDescent="0.25">
      <c r="B17" s="311">
        <v>10</v>
      </c>
      <c r="C17" s="1137" t="s">
        <v>1034</v>
      </c>
      <c r="D17" s="1137"/>
      <c r="E17" s="350"/>
      <c r="F17" s="350"/>
      <c r="G17" s="350"/>
      <c r="H17" s="350"/>
      <c r="I17" s="350"/>
      <c r="J17" s="350"/>
      <c r="K17" s="350"/>
      <c r="L17" s="350"/>
      <c r="M17" s="350"/>
      <c r="N17" s="350"/>
      <c r="O17" s="350"/>
      <c r="P17" s="350"/>
      <c r="Q17" s="350"/>
      <c r="R17" s="350"/>
      <c r="S17" s="350"/>
      <c r="T17" s="350"/>
      <c r="U17" s="350"/>
    </row>
    <row r="18" spans="2:21" x14ac:dyDescent="0.25">
      <c r="B18" s="311">
        <v>11</v>
      </c>
      <c r="C18" s="1137" t="s">
        <v>1040</v>
      </c>
      <c r="D18" s="1137"/>
      <c r="E18" s="350"/>
      <c r="F18" s="350"/>
      <c r="G18" s="350"/>
      <c r="H18" s="350"/>
      <c r="I18" s="350"/>
      <c r="J18" s="350"/>
      <c r="K18" s="350"/>
      <c r="L18" s="350"/>
      <c r="M18" s="350"/>
      <c r="N18" s="350"/>
      <c r="O18" s="350"/>
      <c r="P18" s="350"/>
      <c r="Q18" s="350"/>
      <c r="R18" s="350"/>
      <c r="S18" s="350"/>
      <c r="T18" s="350"/>
      <c r="U18" s="350"/>
    </row>
    <row r="19" spans="2:21" x14ac:dyDescent="0.25">
      <c r="B19" s="311">
        <v>12</v>
      </c>
      <c r="C19" s="1137" t="s">
        <v>1037</v>
      </c>
      <c r="D19" s="1137"/>
      <c r="E19" s="350"/>
      <c r="F19" s="350"/>
      <c r="G19" s="350"/>
      <c r="H19" s="350"/>
      <c r="I19" s="350"/>
      <c r="J19" s="350"/>
      <c r="K19" s="350"/>
      <c r="L19" s="350"/>
      <c r="M19" s="350"/>
      <c r="N19" s="350"/>
      <c r="O19" s="350"/>
      <c r="P19" s="350"/>
      <c r="Q19" s="350"/>
      <c r="R19" s="350"/>
      <c r="S19" s="350"/>
      <c r="T19" s="350"/>
      <c r="U19" s="350"/>
    </row>
    <row r="20" spans="2:21" x14ac:dyDescent="0.25">
      <c r="B20" s="311">
        <v>13</v>
      </c>
      <c r="C20" s="1137" t="s">
        <v>1038</v>
      </c>
      <c r="D20" s="1137"/>
      <c r="E20" s="350"/>
      <c r="F20" s="350"/>
      <c r="G20" s="350"/>
      <c r="H20" s="350"/>
      <c r="I20" s="350"/>
      <c r="J20" s="350"/>
      <c r="K20" s="350"/>
      <c r="L20" s="350"/>
      <c r="M20" s="350"/>
      <c r="N20" s="350"/>
      <c r="O20" s="350"/>
      <c r="P20" s="350"/>
      <c r="Q20" s="350"/>
      <c r="R20" s="350"/>
      <c r="S20" s="350"/>
      <c r="T20" s="350"/>
      <c r="U20" s="350"/>
    </row>
    <row r="22" spans="2:21" ht="13.5" customHeight="1" x14ac:dyDescent="0.25"/>
  </sheetData>
  <mergeCells count="17">
    <mergeCell ref="C16:D16"/>
    <mergeCell ref="C17:D17"/>
    <mergeCell ref="C18:D18"/>
    <mergeCell ref="C19:D19"/>
    <mergeCell ref="C20:D20"/>
    <mergeCell ref="C15:D15"/>
    <mergeCell ref="E6:I6"/>
    <mergeCell ref="J6:M6"/>
    <mergeCell ref="N6:Q6"/>
    <mergeCell ref="R6:U6"/>
    <mergeCell ref="C8:D8"/>
    <mergeCell ref="C9:D9"/>
    <mergeCell ref="C10:D10"/>
    <mergeCell ref="C11:D11"/>
    <mergeCell ref="C12:D12"/>
    <mergeCell ref="C13:D13"/>
    <mergeCell ref="C14:D14"/>
  </mergeCells>
  <hyperlinks>
    <hyperlink ref="B2" location="Indhold!B57" display="Skema EU-SEC3 - Securitiseringseksponeringer uden for handelsbeholdningen og tilknyttede lovbestemte kapitalkrav - instituttet optræder som eksponeringsleverende eller organiserende institut" xr:uid="{28FFB980-4295-4DCD-BCC8-AA22DAA31312}"/>
  </hyperlink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8EEB-6B23-4F30-B145-B3104025A3EA}">
  <sheetPr>
    <tabColor rgb="FF0070C0"/>
    <pageSetUpPr fitToPage="1"/>
  </sheetPr>
  <dimension ref="B2:U20"/>
  <sheetViews>
    <sheetView showGridLines="0" zoomScaleNormal="100" zoomScalePageLayoutView="80" workbookViewId="0">
      <selection activeCell="B2" sqref="B2"/>
    </sheetView>
  </sheetViews>
  <sheetFormatPr defaultColWidth="9.140625" defaultRowHeight="15" x14ac:dyDescent="0.25"/>
  <cols>
    <col min="2" max="2" width="4.5703125" customWidth="1"/>
    <col min="3" max="4" width="13.7109375" customWidth="1"/>
    <col min="5" max="21" width="13.42578125" customWidth="1"/>
  </cols>
  <sheetData>
    <row r="2" spans="2:21" ht="18.75" x14ac:dyDescent="0.3">
      <c r="B2" s="878" t="s">
        <v>1041</v>
      </c>
      <c r="D2" s="422"/>
      <c r="E2" s="422"/>
      <c r="F2" s="422"/>
      <c r="G2" s="422"/>
      <c r="H2" s="422"/>
      <c r="I2" s="422"/>
      <c r="J2" s="422"/>
      <c r="K2" s="422"/>
      <c r="L2" s="422"/>
      <c r="M2" s="422"/>
      <c r="N2" s="422"/>
      <c r="O2" s="422"/>
      <c r="P2" s="422"/>
      <c r="Q2" s="422"/>
      <c r="R2" s="422"/>
    </row>
    <row r="3" spans="2:21" ht="15" customHeight="1" x14ac:dyDescent="0.25"/>
    <row r="4" spans="2:21" ht="15" customHeight="1" x14ac:dyDescent="0.25"/>
    <row r="5" spans="2:21" x14ac:dyDescent="0.25">
      <c r="B5" s="444"/>
      <c r="C5" s="444"/>
      <c r="D5" s="852"/>
      <c r="E5" s="823" t="s">
        <v>105</v>
      </c>
      <c r="F5" s="823" t="s">
        <v>104</v>
      </c>
      <c r="G5" s="823" t="s">
        <v>99</v>
      </c>
      <c r="H5" s="823" t="s">
        <v>98</v>
      </c>
      <c r="I5" s="823" t="s">
        <v>97</v>
      </c>
      <c r="J5" s="823" t="s">
        <v>113</v>
      </c>
      <c r="K5" s="823" t="s">
        <v>114</v>
      </c>
      <c r="L5" s="823" t="s">
        <v>169</v>
      </c>
      <c r="M5" s="823" t="s">
        <v>328</v>
      </c>
      <c r="N5" s="823" t="s">
        <v>329</v>
      </c>
      <c r="O5" s="823" t="s">
        <v>330</v>
      </c>
      <c r="P5" s="823" t="s">
        <v>331</v>
      </c>
      <c r="Q5" s="823" t="s">
        <v>332</v>
      </c>
      <c r="R5" s="823" t="s">
        <v>359</v>
      </c>
      <c r="S5" s="823" t="s">
        <v>576</v>
      </c>
      <c r="T5" s="823" t="s">
        <v>1018</v>
      </c>
      <c r="U5" s="823" t="s">
        <v>1019</v>
      </c>
    </row>
    <row r="6" spans="2:21" ht="15" customHeight="1" x14ac:dyDescent="0.25">
      <c r="B6" s="444"/>
      <c r="C6" s="444"/>
      <c r="D6" s="852"/>
      <c r="E6" s="1138" t="s">
        <v>1020</v>
      </c>
      <c r="F6" s="1026"/>
      <c r="G6" s="1026"/>
      <c r="H6" s="1026"/>
      <c r="I6" s="1026"/>
      <c r="J6" s="1026" t="s">
        <v>1021</v>
      </c>
      <c r="K6" s="1026"/>
      <c r="L6" s="1026"/>
      <c r="M6" s="1026"/>
      <c r="N6" s="1026" t="s">
        <v>1022</v>
      </c>
      <c r="O6" s="1026"/>
      <c r="P6" s="1026"/>
      <c r="Q6" s="1026"/>
      <c r="R6" s="1026" t="s">
        <v>1023</v>
      </c>
      <c r="S6" s="1026"/>
      <c r="T6" s="1026"/>
      <c r="U6" s="1026"/>
    </row>
    <row r="7" spans="2:21" s="94" customFormat="1" ht="45" x14ac:dyDescent="0.25">
      <c r="B7" s="853"/>
      <c r="C7" s="853"/>
      <c r="D7" s="853"/>
      <c r="E7" s="820" t="s">
        <v>1024</v>
      </c>
      <c r="F7" s="820" t="s">
        <v>1025</v>
      </c>
      <c r="G7" s="820" t="s">
        <v>1026</v>
      </c>
      <c r="H7" s="820" t="s">
        <v>1027</v>
      </c>
      <c r="I7" s="820" t="s">
        <v>1028</v>
      </c>
      <c r="J7" s="820" t="s">
        <v>1029</v>
      </c>
      <c r="K7" s="820" t="s">
        <v>1030</v>
      </c>
      <c r="L7" s="820" t="s">
        <v>1031</v>
      </c>
      <c r="M7" s="854" t="s">
        <v>1028</v>
      </c>
      <c r="N7" s="820" t="s">
        <v>1029</v>
      </c>
      <c r="O7" s="820" t="s">
        <v>1030</v>
      </c>
      <c r="P7" s="820" t="s">
        <v>1031</v>
      </c>
      <c r="Q7" s="854" t="s">
        <v>1028</v>
      </c>
      <c r="R7" s="820" t="s">
        <v>1029</v>
      </c>
      <c r="S7" s="820" t="s">
        <v>1030</v>
      </c>
      <c r="T7" s="820" t="s">
        <v>1031</v>
      </c>
      <c r="U7" s="854" t="s">
        <v>1028</v>
      </c>
    </row>
    <row r="8" spans="2:21" x14ac:dyDescent="0.25">
      <c r="B8" s="356">
        <v>1</v>
      </c>
      <c r="C8" s="1139" t="s">
        <v>1005</v>
      </c>
      <c r="D8" s="1139"/>
      <c r="E8" s="850"/>
      <c r="F8" s="850"/>
      <c r="G8" s="850"/>
      <c r="H8" s="850"/>
      <c r="I8" s="850"/>
      <c r="J8" s="850"/>
      <c r="K8" s="850"/>
      <c r="L8" s="850"/>
      <c r="M8" s="850"/>
      <c r="N8" s="850"/>
      <c r="O8" s="850"/>
      <c r="P8" s="850"/>
      <c r="Q8" s="850"/>
      <c r="R8" s="850"/>
      <c r="S8" s="850"/>
      <c r="T8" s="850"/>
      <c r="U8" s="850"/>
    </row>
    <row r="9" spans="2:21" x14ac:dyDescent="0.25">
      <c r="B9" s="311">
        <v>2</v>
      </c>
      <c r="C9" s="1137" t="s">
        <v>1042</v>
      </c>
      <c r="D9" s="1137"/>
      <c r="E9" s="350"/>
      <c r="F9" s="350"/>
      <c r="G9" s="350"/>
      <c r="H9" s="350"/>
      <c r="I9" s="350"/>
      <c r="J9" s="350"/>
      <c r="K9" s="350"/>
      <c r="L9" s="350"/>
      <c r="M9" s="350"/>
      <c r="N9" s="350"/>
      <c r="O9" s="350"/>
      <c r="P9" s="350"/>
      <c r="Q9" s="350"/>
      <c r="R9" s="350"/>
      <c r="S9" s="350"/>
      <c r="T9" s="350"/>
      <c r="U9" s="350"/>
    </row>
    <row r="10" spans="2:21" x14ac:dyDescent="0.25">
      <c r="B10" s="311">
        <v>3</v>
      </c>
      <c r="C10" s="1137" t="s">
        <v>1034</v>
      </c>
      <c r="D10" s="1137"/>
      <c r="E10" s="350"/>
      <c r="F10" s="350"/>
      <c r="G10" s="350"/>
      <c r="H10" s="350"/>
      <c r="I10" s="350"/>
      <c r="J10" s="350"/>
      <c r="K10" s="350"/>
      <c r="L10" s="350"/>
      <c r="M10" s="350"/>
      <c r="N10" s="350"/>
      <c r="O10" s="350"/>
      <c r="P10" s="350"/>
      <c r="Q10" s="350"/>
      <c r="R10" s="350"/>
      <c r="S10" s="350"/>
      <c r="T10" s="350"/>
      <c r="U10" s="350"/>
    </row>
    <row r="11" spans="2:21" x14ac:dyDescent="0.25">
      <c r="B11" s="311">
        <v>4</v>
      </c>
      <c r="C11" s="1137" t="s">
        <v>1040</v>
      </c>
      <c r="D11" s="1137"/>
      <c r="E11" s="350"/>
      <c r="F11" s="350"/>
      <c r="G11" s="350"/>
      <c r="H11" s="350"/>
      <c r="I11" s="350"/>
      <c r="J11" s="350"/>
      <c r="K11" s="350"/>
      <c r="L11" s="350"/>
      <c r="M11" s="350"/>
      <c r="N11" s="350"/>
      <c r="O11" s="350"/>
      <c r="P11" s="350"/>
      <c r="Q11" s="350"/>
      <c r="R11" s="350"/>
      <c r="S11" s="350"/>
      <c r="T11" s="350"/>
      <c r="U11" s="350"/>
    </row>
    <row r="12" spans="2:21" x14ac:dyDescent="0.25">
      <c r="B12" s="311">
        <v>5</v>
      </c>
      <c r="C12" s="1140" t="s">
        <v>1036</v>
      </c>
      <c r="D12" s="1140"/>
      <c r="E12" s="350"/>
      <c r="F12" s="350"/>
      <c r="G12" s="350"/>
      <c r="H12" s="350"/>
      <c r="I12" s="350"/>
      <c r="J12" s="350"/>
      <c r="K12" s="350"/>
      <c r="L12" s="350"/>
      <c r="M12" s="350"/>
      <c r="N12" s="350"/>
      <c r="O12" s="350"/>
      <c r="P12" s="350"/>
      <c r="Q12" s="350"/>
      <c r="R12" s="350"/>
      <c r="S12" s="350"/>
      <c r="T12" s="350"/>
      <c r="U12" s="350"/>
    </row>
    <row r="13" spans="2:21" x14ac:dyDescent="0.25">
      <c r="B13" s="311">
        <v>6</v>
      </c>
      <c r="C13" s="1137" t="s">
        <v>1037</v>
      </c>
      <c r="D13" s="1137"/>
      <c r="E13" s="350"/>
      <c r="F13" s="350"/>
      <c r="G13" s="350"/>
      <c r="H13" s="350"/>
      <c r="I13" s="350"/>
      <c r="J13" s="350"/>
      <c r="K13" s="350"/>
      <c r="L13" s="350"/>
      <c r="M13" s="350"/>
      <c r="N13" s="350"/>
      <c r="O13" s="350"/>
      <c r="P13" s="350"/>
      <c r="Q13" s="350"/>
      <c r="R13" s="350"/>
      <c r="S13" s="350"/>
      <c r="T13" s="350"/>
      <c r="U13" s="350"/>
    </row>
    <row r="14" spans="2:21" x14ac:dyDescent="0.25">
      <c r="B14" s="311">
        <v>7</v>
      </c>
      <c r="C14" s="1140" t="s">
        <v>1036</v>
      </c>
      <c r="D14" s="1140"/>
      <c r="E14" s="350"/>
      <c r="F14" s="350"/>
      <c r="G14" s="350"/>
      <c r="H14" s="350"/>
      <c r="I14" s="350"/>
      <c r="J14" s="350"/>
      <c r="K14" s="350"/>
      <c r="L14" s="350"/>
      <c r="M14" s="350"/>
      <c r="N14" s="350"/>
      <c r="O14" s="350"/>
      <c r="P14" s="350"/>
      <c r="Q14" s="350"/>
      <c r="R14" s="350"/>
      <c r="S14" s="350"/>
      <c r="T14" s="350"/>
      <c r="U14" s="350"/>
    </row>
    <row r="15" spans="2:21" x14ac:dyDescent="0.25">
      <c r="B15" s="311">
        <v>8</v>
      </c>
      <c r="C15" s="1137" t="s">
        <v>1038</v>
      </c>
      <c r="D15" s="1137"/>
      <c r="E15" s="350"/>
      <c r="F15" s="350"/>
      <c r="G15" s="350"/>
      <c r="H15" s="350"/>
      <c r="I15" s="350"/>
      <c r="J15" s="350"/>
      <c r="K15" s="350"/>
      <c r="L15" s="350"/>
      <c r="M15" s="350"/>
      <c r="N15" s="350"/>
      <c r="O15" s="350"/>
      <c r="P15" s="350"/>
      <c r="Q15" s="350"/>
      <c r="R15" s="350"/>
      <c r="S15" s="350"/>
      <c r="T15" s="350"/>
      <c r="U15" s="350"/>
    </row>
    <row r="16" spans="2:21" x14ac:dyDescent="0.25">
      <c r="B16" s="311">
        <v>9</v>
      </c>
      <c r="C16" s="1137" t="s">
        <v>1043</v>
      </c>
      <c r="D16" s="1137"/>
      <c r="E16" s="350"/>
      <c r="F16" s="350"/>
      <c r="G16" s="350"/>
      <c r="H16" s="350"/>
      <c r="I16" s="350"/>
      <c r="J16" s="350"/>
      <c r="K16" s="350"/>
      <c r="L16" s="350"/>
      <c r="M16" s="350"/>
      <c r="N16" s="350"/>
      <c r="O16" s="350"/>
      <c r="P16" s="350"/>
      <c r="Q16" s="350"/>
      <c r="R16" s="350"/>
      <c r="S16" s="350"/>
      <c r="T16" s="350"/>
      <c r="U16" s="350"/>
    </row>
    <row r="17" spans="2:21" x14ac:dyDescent="0.25">
      <c r="B17" s="311">
        <v>10</v>
      </c>
      <c r="C17" s="1137" t="s">
        <v>1034</v>
      </c>
      <c r="D17" s="1137"/>
      <c r="E17" s="350"/>
      <c r="F17" s="350"/>
      <c r="G17" s="350"/>
      <c r="H17" s="350"/>
      <c r="I17" s="350"/>
      <c r="J17" s="350"/>
      <c r="K17" s="350"/>
      <c r="L17" s="350"/>
      <c r="M17" s="350"/>
      <c r="N17" s="350"/>
      <c r="O17" s="350"/>
      <c r="P17" s="350"/>
      <c r="Q17" s="350"/>
      <c r="R17" s="350"/>
      <c r="S17" s="350"/>
      <c r="T17" s="350"/>
      <c r="U17" s="350"/>
    </row>
    <row r="18" spans="2:21" x14ac:dyDescent="0.25">
      <c r="B18" s="311">
        <v>11</v>
      </c>
      <c r="C18" s="1137" t="s">
        <v>1040</v>
      </c>
      <c r="D18" s="1137"/>
      <c r="E18" s="350"/>
      <c r="F18" s="350"/>
      <c r="G18" s="350"/>
      <c r="H18" s="350"/>
      <c r="I18" s="350"/>
      <c r="J18" s="350"/>
      <c r="K18" s="350"/>
      <c r="L18" s="350"/>
      <c r="M18" s="350"/>
      <c r="N18" s="350"/>
      <c r="O18" s="350"/>
      <c r="P18" s="350"/>
      <c r="Q18" s="350"/>
      <c r="R18" s="350"/>
      <c r="S18" s="350"/>
      <c r="T18" s="350"/>
      <c r="U18" s="350"/>
    </row>
    <row r="19" spans="2:21" x14ac:dyDescent="0.25">
      <c r="B19" s="311">
        <v>12</v>
      </c>
      <c r="C19" s="1137" t="s">
        <v>1037</v>
      </c>
      <c r="D19" s="1137"/>
      <c r="E19" s="350"/>
      <c r="F19" s="350"/>
      <c r="G19" s="350"/>
      <c r="H19" s="350"/>
      <c r="I19" s="350"/>
      <c r="J19" s="350"/>
      <c r="K19" s="350"/>
      <c r="L19" s="350"/>
      <c r="M19" s="350"/>
      <c r="N19" s="350"/>
      <c r="O19" s="350"/>
      <c r="P19" s="350"/>
      <c r="Q19" s="350"/>
      <c r="R19" s="350"/>
      <c r="S19" s="350"/>
      <c r="T19" s="350"/>
      <c r="U19" s="350"/>
    </row>
    <row r="20" spans="2:21" x14ac:dyDescent="0.25">
      <c r="B20" s="311">
        <v>13</v>
      </c>
      <c r="C20" s="1137" t="s">
        <v>1038</v>
      </c>
      <c r="D20" s="1137"/>
      <c r="E20" s="350"/>
      <c r="F20" s="350"/>
      <c r="G20" s="350"/>
      <c r="H20" s="350"/>
      <c r="I20" s="350"/>
      <c r="J20" s="350"/>
      <c r="K20" s="350"/>
      <c r="L20" s="350"/>
      <c r="M20" s="350"/>
      <c r="N20" s="350"/>
      <c r="O20" s="350"/>
      <c r="P20" s="350"/>
      <c r="Q20" s="350"/>
      <c r="R20" s="350"/>
      <c r="S20" s="350"/>
      <c r="T20" s="350"/>
      <c r="U20" s="350"/>
    </row>
  </sheetData>
  <mergeCells count="17">
    <mergeCell ref="C16:D16"/>
    <mergeCell ref="C17:D17"/>
    <mergeCell ref="C18:D18"/>
    <mergeCell ref="C19:D19"/>
    <mergeCell ref="C20:D20"/>
    <mergeCell ref="C15:D15"/>
    <mergeCell ref="E6:I6"/>
    <mergeCell ref="J6:M6"/>
    <mergeCell ref="N6:Q6"/>
    <mergeCell ref="R6:U6"/>
    <mergeCell ref="C8:D8"/>
    <mergeCell ref="C9:D9"/>
    <mergeCell ref="C10:D10"/>
    <mergeCell ref="C11:D11"/>
    <mergeCell ref="C12:D12"/>
    <mergeCell ref="C13:D13"/>
    <mergeCell ref="C14:D14"/>
  </mergeCells>
  <hyperlinks>
    <hyperlink ref="B2" location="Indhold!B58" display="Skema EU-SEC4 - Securitiseringseksponeringer uden for handelsbeholdningen og tilknyttede lovpligtige kapitalkrav - instituttet optræder som investorinstitut" xr:uid="{ED76C27C-9091-4AD9-A6FF-CED17AD65594}"/>
  </hyperlink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8A19-0A69-47EB-A590-6218E457092C}">
  <sheetPr>
    <tabColor rgb="FF0070C0"/>
    <pageSetUpPr fitToPage="1"/>
  </sheetPr>
  <dimension ref="B2:R20"/>
  <sheetViews>
    <sheetView showGridLines="0" zoomScaleNormal="100" workbookViewId="0">
      <selection activeCell="B2" sqref="B2"/>
    </sheetView>
  </sheetViews>
  <sheetFormatPr defaultColWidth="9.140625" defaultRowHeight="15" x14ac:dyDescent="0.25"/>
  <cols>
    <col min="2" max="2" width="5.7109375" customWidth="1"/>
    <col min="3" max="3" width="27.140625" customWidth="1"/>
    <col min="4" max="4" width="33.140625" customWidth="1"/>
    <col min="5" max="5" width="31.42578125" bestFit="1" customWidth="1"/>
    <col min="6" max="6" width="73.140625" bestFit="1" customWidth="1"/>
  </cols>
  <sheetData>
    <row r="2" spans="2:18" ht="18.75" x14ac:dyDescent="0.3">
      <c r="B2" s="878" t="s">
        <v>1044</v>
      </c>
      <c r="D2" s="422"/>
      <c r="E2" s="422"/>
      <c r="F2" s="422"/>
      <c r="G2" s="422"/>
      <c r="H2" s="422"/>
      <c r="I2" s="422"/>
      <c r="J2" s="422"/>
      <c r="K2" s="422"/>
      <c r="L2" s="422"/>
      <c r="M2" s="422"/>
      <c r="N2" s="422"/>
      <c r="O2" s="422"/>
      <c r="P2" s="422"/>
      <c r="Q2" s="422"/>
      <c r="R2" s="422"/>
    </row>
    <row r="3" spans="2:18" x14ac:dyDescent="0.25">
      <c r="C3" s="357"/>
      <c r="D3" s="357"/>
      <c r="E3" s="357"/>
      <c r="F3" s="357"/>
    </row>
    <row r="5" spans="2:18" x14ac:dyDescent="0.25">
      <c r="B5" s="840"/>
      <c r="C5" s="840"/>
      <c r="D5" s="824" t="s">
        <v>105</v>
      </c>
      <c r="E5" s="824" t="s">
        <v>104</v>
      </c>
      <c r="F5" s="824" t="s">
        <v>99</v>
      </c>
    </row>
    <row r="6" spans="2:18" x14ac:dyDescent="0.25">
      <c r="B6" s="840"/>
      <c r="C6" s="840"/>
      <c r="D6" s="1026" t="s">
        <v>1045</v>
      </c>
      <c r="E6" s="1026"/>
      <c r="F6" s="1026"/>
    </row>
    <row r="7" spans="2:18" x14ac:dyDescent="0.25">
      <c r="B7" s="840"/>
      <c r="C7" s="840"/>
      <c r="D7" s="1141" t="s">
        <v>1046</v>
      </c>
      <c r="E7" s="1126"/>
      <c r="F7" s="1017" t="s">
        <v>1047</v>
      </c>
    </row>
    <row r="8" spans="2:18" x14ac:dyDescent="0.25">
      <c r="B8" s="840"/>
      <c r="C8" s="840"/>
      <c r="D8" s="855"/>
      <c r="E8" s="848" t="s">
        <v>667</v>
      </c>
      <c r="F8" s="1127"/>
    </row>
    <row r="9" spans="2:18" x14ac:dyDescent="0.25">
      <c r="B9" s="347">
        <v>1</v>
      </c>
      <c r="C9" s="348" t="s">
        <v>1005</v>
      </c>
      <c r="D9" s="311"/>
      <c r="E9" s="346"/>
      <c r="F9" s="846"/>
    </row>
    <row r="10" spans="2:18" x14ac:dyDescent="0.25">
      <c r="B10" s="138">
        <v>2</v>
      </c>
      <c r="C10" s="351" t="s">
        <v>1006</v>
      </c>
      <c r="D10" s="311"/>
      <c r="E10" s="311"/>
      <c r="F10" s="311"/>
    </row>
    <row r="11" spans="2:18" x14ac:dyDescent="0.25">
      <c r="B11" s="138">
        <v>3</v>
      </c>
      <c r="C11" s="350" t="s">
        <v>1007</v>
      </c>
      <c r="D11" s="350"/>
      <c r="E11" s="350"/>
      <c r="F11" s="350"/>
    </row>
    <row r="12" spans="2:18" x14ac:dyDescent="0.25">
      <c r="B12" s="138">
        <v>4</v>
      </c>
      <c r="C12" s="350" t="s">
        <v>1008</v>
      </c>
      <c r="D12" s="350"/>
      <c r="E12" s="350"/>
      <c r="F12" s="350"/>
    </row>
    <row r="13" spans="2:18" x14ac:dyDescent="0.25">
      <c r="B13" s="138">
        <v>5</v>
      </c>
      <c r="C13" s="350" t="s">
        <v>1009</v>
      </c>
      <c r="D13" s="350"/>
      <c r="E13" s="350"/>
      <c r="F13" s="350"/>
    </row>
    <row r="14" spans="2:18" x14ac:dyDescent="0.25">
      <c r="B14" s="138">
        <v>6</v>
      </c>
      <c r="C14" s="350" t="s">
        <v>1010</v>
      </c>
      <c r="D14" s="350"/>
      <c r="E14" s="350"/>
      <c r="F14" s="350"/>
    </row>
    <row r="15" spans="2:18" x14ac:dyDescent="0.25">
      <c r="B15" s="138">
        <v>7</v>
      </c>
      <c r="C15" s="351" t="s">
        <v>1011</v>
      </c>
      <c r="D15" s="311"/>
      <c r="E15" s="311"/>
      <c r="F15" s="311"/>
    </row>
    <row r="16" spans="2:18" x14ac:dyDescent="0.25">
      <c r="B16" s="138">
        <v>8</v>
      </c>
      <c r="C16" s="350" t="s">
        <v>1012</v>
      </c>
      <c r="D16" s="350"/>
      <c r="E16" s="350"/>
      <c r="F16" s="350"/>
    </row>
    <row r="17" spans="2:6" x14ac:dyDescent="0.25">
      <c r="B17" s="138">
        <v>9</v>
      </c>
      <c r="C17" s="350" t="s">
        <v>1013</v>
      </c>
      <c r="D17" s="350"/>
      <c r="E17" s="350"/>
      <c r="F17" s="350"/>
    </row>
    <row r="18" spans="2:6" x14ac:dyDescent="0.25">
      <c r="B18" s="138">
        <v>10</v>
      </c>
      <c r="C18" s="350" t="s">
        <v>1014</v>
      </c>
      <c r="D18" s="350"/>
      <c r="E18" s="350"/>
      <c r="F18" s="350"/>
    </row>
    <row r="19" spans="2:6" x14ac:dyDescent="0.25">
      <c r="B19" s="138">
        <v>11</v>
      </c>
      <c r="C19" s="350" t="s">
        <v>1015</v>
      </c>
      <c r="D19" s="350"/>
      <c r="E19" s="350"/>
      <c r="F19" s="350"/>
    </row>
    <row r="20" spans="2:6" x14ac:dyDescent="0.25">
      <c r="B20" s="138">
        <v>12</v>
      </c>
      <c r="C20" s="350" t="s">
        <v>1010</v>
      </c>
      <c r="D20" s="350"/>
      <c r="E20" s="350"/>
      <c r="F20" s="350"/>
    </row>
  </sheetData>
  <mergeCells count="3">
    <mergeCell ref="D6:F6"/>
    <mergeCell ref="D7:E7"/>
    <mergeCell ref="F7:F8"/>
  </mergeCells>
  <hyperlinks>
    <hyperlink ref="B2" location="Indhold!B59" display="Skema EU-SEC5 - Eksponeringer securitiseret af instituttet - Misligholdte eksponeringer og specifikke kreditrisikojusteringer" xr:uid="{64ADFC4A-2835-45A5-9DDE-C0F3557A0772}"/>
  </hyperlinks>
  <pageMargins left="0.70866141732283472" right="0.70866141732283472" top="0.74803149606299213" bottom="0.74803149606299213" header="0.31496062992125984" footer="0.31496062992125984"/>
  <pageSetup paperSize="9" scale="82" orientation="landscape" r:id="rId1"/>
  <headerFooter>
    <oddHeader>&amp;CDA
Bilag XXVII</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77566-46E1-4D1C-BA14-B29F88DEDB0D}">
  <sheetPr>
    <tabColor rgb="FF0070C0"/>
    <pageSetUpPr fitToPage="1"/>
  </sheetPr>
  <dimension ref="B2:R30"/>
  <sheetViews>
    <sheetView showGridLines="0" zoomScaleNormal="100" zoomScalePageLayoutView="90" workbookViewId="0">
      <selection activeCell="B2" sqref="B2"/>
    </sheetView>
  </sheetViews>
  <sheetFormatPr defaultColWidth="9.140625" defaultRowHeight="15" x14ac:dyDescent="0.25"/>
  <cols>
    <col min="1" max="1" width="9.140625" style="1"/>
    <col min="2" max="2" width="5" style="1" customWidth="1"/>
    <col min="3" max="3" width="43" style="1" customWidth="1"/>
    <col min="4" max="4" width="75.28515625" style="1" customWidth="1"/>
    <col min="5" max="5" width="24.42578125" style="1" customWidth="1"/>
    <col min="6" max="6" width="23.28515625" style="1" customWidth="1"/>
    <col min="7" max="7" width="21" style="1" customWidth="1"/>
    <col min="8" max="8" width="25" style="1" customWidth="1"/>
    <col min="9" max="9" width="25.28515625" style="1" customWidth="1"/>
    <col min="10" max="10" width="23.140625" style="1" customWidth="1"/>
    <col min="11" max="11" width="29.7109375" style="1" customWidth="1"/>
    <col min="12" max="12" width="22" style="1" customWidth="1"/>
    <col min="13" max="13" width="16.42578125" style="1" customWidth="1"/>
    <col min="14" max="14" width="14.85546875" style="1" customWidth="1"/>
    <col min="15" max="15" width="14.5703125" style="1" customWidth="1"/>
    <col min="16" max="16" width="31.5703125" style="1" customWidth="1"/>
    <col min="17" max="16384" width="9.140625" style="1"/>
  </cols>
  <sheetData>
    <row r="2" spans="2:18" ht="18.75" x14ac:dyDescent="0.3">
      <c r="B2" s="878" t="s">
        <v>1150</v>
      </c>
      <c r="D2" s="422"/>
      <c r="E2" s="422"/>
      <c r="F2" s="422"/>
      <c r="G2" s="422"/>
      <c r="H2" s="422"/>
      <c r="I2" s="422"/>
      <c r="J2" s="422"/>
      <c r="K2" s="422"/>
      <c r="L2" s="422"/>
      <c r="M2" s="422"/>
      <c r="N2" s="422"/>
      <c r="O2" s="422"/>
      <c r="P2" s="422"/>
      <c r="Q2" s="422"/>
      <c r="R2" s="422"/>
    </row>
    <row r="5" spans="2:18" x14ac:dyDescent="0.25">
      <c r="B5" s="444"/>
      <c r="C5" s="856"/>
      <c r="D5" s="444"/>
      <c r="E5" s="824" t="s">
        <v>105</v>
      </c>
      <c r="F5" s="824" t="s">
        <v>104</v>
      </c>
      <c r="G5" s="824" t="s">
        <v>99</v>
      </c>
      <c r="H5" s="824" t="s">
        <v>98</v>
      </c>
    </row>
    <row r="6" spans="2:18" ht="30" x14ac:dyDescent="0.25">
      <c r="B6" s="444"/>
      <c r="C6" s="1145"/>
      <c r="D6" s="1146"/>
      <c r="E6" s="574" t="s">
        <v>1125</v>
      </c>
      <c r="F6" s="574" t="s">
        <v>1126</v>
      </c>
      <c r="G6" s="574" t="s">
        <v>1127</v>
      </c>
      <c r="H6" s="574" t="s">
        <v>1128</v>
      </c>
    </row>
    <row r="7" spans="2:18" x14ac:dyDescent="0.25">
      <c r="B7" s="311"/>
      <c r="C7" s="1142" t="s">
        <v>1151</v>
      </c>
      <c r="D7" s="1143"/>
      <c r="E7" s="1147"/>
      <c r="F7" s="1147"/>
      <c r="G7" s="1147"/>
      <c r="H7" s="1148"/>
    </row>
    <row r="8" spans="2:18" x14ac:dyDescent="0.25">
      <c r="B8" s="311">
        <v>1</v>
      </c>
      <c r="C8" s="1149" t="s">
        <v>1152</v>
      </c>
      <c r="D8" s="1150"/>
      <c r="E8" s="380">
        <v>0</v>
      </c>
      <c r="F8" s="380">
        <v>0</v>
      </c>
      <c r="G8" s="380">
        <v>0</v>
      </c>
      <c r="H8" s="380">
        <v>0</v>
      </c>
    </row>
    <row r="9" spans="2:18" x14ac:dyDescent="0.25">
      <c r="B9" s="311">
        <v>2</v>
      </c>
      <c r="C9" s="1149" t="s">
        <v>1153</v>
      </c>
      <c r="D9" s="1150"/>
      <c r="E9" s="380">
        <v>0</v>
      </c>
      <c r="F9" s="380">
        <v>0</v>
      </c>
      <c r="G9" s="380">
        <v>0</v>
      </c>
      <c r="H9" s="380">
        <v>0</v>
      </c>
    </row>
    <row r="10" spans="2:18" x14ac:dyDescent="0.25">
      <c r="B10" s="311">
        <v>3</v>
      </c>
      <c r="C10" s="1151" t="s">
        <v>1154</v>
      </c>
      <c r="D10" s="1152"/>
      <c r="E10" s="382">
        <v>0</v>
      </c>
      <c r="F10" s="382">
        <v>0</v>
      </c>
      <c r="G10" s="382">
        <v>0</v>
      </c>
      <c r="H10" s="382">
        <v>0</v>
      </c>
    </row>
    <row r="11" spans="2:18" x14ac:dyDescent="0.25">
      <c r="B11" s="311"/>
      <c r="C11" s="1142" t="s">
        <v>1155</v>
      </c>
      <c r="D11" s="1143"/>
      <c r="E11" s="1143"/>
      <c r="F11" s="1143"/>
      <c r="G11" s="1143"/>
      <c r="H11" s="1144"/>
    </row>
    <row r="12" spans="2:18" x14ac:dyDescent="0.25">
      <c r="B12" s="311">
        <v>4</v>
      </c>
      <c r="C12" s="1149" t="s">
        <v>1156</v>
      </c>
      <c r="D12" s="1150"/>
      <c r="E12" s="380">
        <v>0</v>
      </c>
      <c r="F12" s="380">
        <v>0</v>
      </c>
      <c r="G12" s="380">
        <v>0</v>
      </c>
      <c r="H12" s="380">
        <v>0</v>
      </c>
    </row>
    <row r="13" spans="2:18" x14ac:dyDescent="0.25">
      <c r="B13" s="311">
        <v>5</v>
      </c>
      <c r="C13" s="1149" t="s">
        <v>1157</v>
      </c>
      <c r="D13" s="1150"/>
      <c r="E13" s="380">
        <v>0</v>
      </c>
      <c r="F13" s="380">
        <v>0</v>
      </c>
      <c r="G13" s="380">
        <v>0</v>
      </c>
      <c r="H13" s="380">
        <v>0</v>
      </c>
    </row>
    <row r="14" spans="2:18" x14ac:dyDescent="0.25">
      <c r="B14" s="311"/>
      <c r="C14" s="1142" t="s">
        <v>1158</v>
      </c>
      <c r="D14" s="1143"/>
      <c r="E14" s="1143"/>
      <c r="F14" s="1143"/>
      <c r="G14" s="1143"/>
      <c r="H14" s="1144"/>
    </row>
    <row r="15" spans="2:18" x14ac:dyDescent="0.25">
      <c r="B15" s="311">
        <v>6</v>
      </c>
      <c r="C15" s="1149" t="s">
        <v>1159</v>
      </c>
      <c r="D15" s="1150"/>
      <c r="E15" s="380">
        <v>0</v>
      </c>
      <c r="F15" s="380">
        <v>0</v>
      </c>
      <c r="G15" s="380">
        <v>0</v>
      </c>
      <c r="H15" s="380">
        <v>0</v>
      </c>
    </row>
    <row r="16" spans="2:18" x14ac:dyDescent="0.25">
      <c r="B16" s="311">
        <v>7</v>
      </c>
      <c r="C16" s="1149" t="s">
        <v>1160</v>
      </c>
      <c r="D16" s="1150"/>
      <c r="E16" s="380">
        <v>0</v>
      </c>
      <c r="F16" s="380">
        <v>0</v>
      </c>
      <c r="G16" s="380">
        <v>0</v>
      </c>
      <c r="H16" s="380">
        <v>0</v>
      </c>
    </row>
    <row r="17" spans="2:8" x14ac:dyDescent="0.25">
      <c r="B17" s="311">
        <v>8</v>
      </c>
      <c r="C17" s="1151" t="s">
        <v>1161</v>
      </c>
      <c r="D17" s="1152"/>
      <c r="E17" s="380">
        <v>0</v>
      </c>
      <c r="F17" s="380">
        <v>0</v>
      </c>
      <c r="G17" s="380">
        <v>0</v>
      </c>
      <c r="H17" s="380">
        <v>0</v>
      </c>
    </row>
    <row r="18" spans="2:8" ht="15" customHeight="1" x14ac:dyDescent="0.25">
      <c r="B18" s="311">
        <v>9</v>
      </c>
      <c r="C18" s="1151" t="s">
        <v>1162</v>
      </c>
      <c r="D18" s="1152"/>
      <c r="E18" s="380">
        <v>0</v>
      </c>
      <c r="F18" s="380">
        <v>0</v>
      </c>
      <c r="G18" s="380">
        <v>0</v>
      </c>
      <c r="H18" s="380">
        <v>0</v>
      </c>
    </row>
    <row r="19" spans="2:8" ht="15" customHeight="1" x14ac:dyDescent="0.25">
      <c r="B19" s="311">
        <v>10</v>
      </c>
      <c r="C19" s="1151" t="s">
        <v>1163</v>
      </c>
      <c r="D19" s="1152"/>
      <c r="E19" s="380">
        <v>0</v>
      </c>
      <c r="F19" s="380">
        <v>0</v>
      </c>
      <c r="G19" s="380">
        <v>0</v>
      </c>
      <c r="H19" s="380">
        <v>0</v>
      </c>
    </row>
    <row r="20" spans="2:8" x14ac:dyDescent="0.25">
      <c r="B20" s="311">
        <v>11</v>
      </c>
      <c r="C20" s="1151" t="s">
        <v>1164</v>
      </c>
      <c r="D20" s="1152"/>
      <c r="E20" s="380">
        <v>0</v>
      </c>
      <c r="F20" s="380">
        <v>0</v>
      </c>
      <c r="G20" s="380">
        <v>0</v>
      </c>
      <c r="H20" s="380">
        <v>0</v>
      </c>
    </row>
    <row r="26" spans="2:8" x14ac:dyDescent="0.25">
      <c r="C26" s="1153"/>
      <c r="D26" s="1153"/>
      <c r="E26" s="1153"/>
      <c r="F26" s="1153"/>
      <c r="G26" s="1153"/>
      <c r="H26" s="1153"/>
    </row>
    <row r="30" spans="2:8" ht="29.25" customHeight="1" x14ac:dyDescent="0.25"/>
  </sheetData>
  <mergeCells count="16">
    <mergeCell ref="C18:D18"/>
    <mergeCell ref="C19:D19"/>
    <mergeCell ref="C20:D20"/>
    <mergeCell ref="C26:H26"/>
    <mergeCell ref="C12:D12"/>
    <mergeCell ref="C13:D13"/>
    <mergeCell ref="C14:H14"/>
    <mergeCell ref="C15:D15"/>
    <mergeCell ref="C16:D16"/>
    <mergeCell ref="C17:D17"/>
    <mergeCell ref="C11:H11"/>
    <mergeCell ref="C6:D6"/>
    <mergeCell ref="C7:H7"/>
    <mergeCell ref="C8:D8"/>
    <mergeCell ref="C9:D9"/>
    <mergeCell ref="C10:D10"/>
  </mergeCells>
  <hyperlinks>
    <hyperlink ref="B2" location="Indhold!B60" display="Skema EU REM2 – Særlige betalinger til medarbejdere, hvis arbejde har væsentlig indflydelse på instituttets risikoprofil (identificerede medarbejdere)" xr:uid="{2B9D6858-E5A4-4EAB-A804-0B7CF2AD3334}"/>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3F74-1A68-4214-B013-03017BAE0327}">
  <sheetPr>
    <tabColor rgb="FF0070C0"/>
    <pageSetUpPr fitToPage="1"/>
  </sheetPr>
  <dimension ref="B2:Y31"/>
  <sheetViews>
    <sheetView showGridLines="0" zoomScaleNormal="100" zoomScalePageLayoutView="90" workbookViewId="0">
      <selection activeCell="B2" sqref="B2"/>
    </sheetView>
  </sheetViews>
  <sheetFormatPr defaultColWidth="9.140625" defaultRowHeight="15" x14ac:dyDescent="0.25"/>
  <cols>
    <col min="1" max="2" width="9.140625" style="1"/>
    <col min="3" max="3" width="28.7109375" style="1" customWidth="1"/>
    <col min="4" max="8" width="20" style="1" customWidth="1"/>
    <col min="9" max="9" width="20" style="383" customWidth="1"/>
    <col min="10" max="10" width="20" style="1" customWidth="1"/>
    <col min="11" max="11" width="22.140625" style="1" customWidth="1"/>
    <col min="12" max="12" width="9.140625" style="1"/>
    <col min="13" max="13" width="255.7109375" style="1" bestFit="1" customWidth="1"/>
    <col min="14" max="16384" width="9.140625" style="1"/>
  </cols>
  <sheetData>
    <row r="2" spans="2:25" ht="18.75" x14ac:dyDescent="0.3">
      <c r="B2" s="878" t="s">
        <v>1165</v>
      </c>
      <c r="D2" s="422"/>
      <c r="E2" s="422"/>
      <c r="F2" s="422"/>
      <c r="G2" s="422"/>
      <c r="H2" s="422"/>
      <c r="I2" s="422"/>
      <c r="J2" s="422"/>
      <c r="K2" s="422"/>
      <c r="L2" s="422"/>
      <c r="M2" s="422"/>
      <c r="N2" s="422"/>
      <c r="O2" s="422"/>
      <c r="P2" s="422"/>
      <c r="Q2" s="422"/>
      <c r="R2" s="422"/>
    </row>
    <row r="3" spans="2:25" ht="14.25" customHeight="1" x14ac:dyDescent="0.25">
      <c r="C3" s="384"/>
      <c r="D3" s="384"/>
      <c r="E3" s="384"/>
      <c r="F3" s="384"/>
      <c r="G3" s="384"/>
      <c r="H3" s="384"/>
      <c r="I3" s="385"/>
      <c r="J3" s="384"/>
    </row>
    <row r="4" spans="2:25" x14ac:dyDescent="0.25">
      <c r="E4" s="384"/>
      <c r="F4" s="384"/>
      <c r="G4" s="384"/>
      <c r="H4" s="384"/>
      <c r="I4" s="385"/>
    </row>
    <row r="5" spans="2:25" x14ac:dyDescent="0.25">
      <c r="B5" s="444"/>
      <c r="C5" s="444"/>
      <c r="D5" s="824" t="s">
        <v>105</v>
      </c>
      <c r="E5" s="824" t="s">
        <v>104</v>
      </c>
      <c r="F5" s="824" t="s">
        <v>99</v>
      </c>
      <c r="G5" s="824" t="s">
        <v>98</v>
      </c>
      <c r="H5" s="824" t="s">
        <v>97</v>
      </c>
      <c r="I5" s="824" t="s">
        <v>113</v>
      </c>
      <c r="J5" s="824" t="s">
        <v>1166</v>
      </c>
      <c r="K5" s="824" t="s">
        <v>1167</v>
      </c>
    </row>
    <row r="6" spans="2:25" ht="196.5" customHeight="1" x14ac:dyDescent="0.25">
      <c r="B6" s="444"/>
      <c r="C6" s="473" t="s">
        <v>1168</v>
      </c>
      <c r="D6" s="858" t="s">
        <v>1169</v>
      </c>
      <c r="E6" s="858" t="s">
        <v>1170</v>
      </c>
      <c r="F6" s="858" t="s">
        <v>1171</v>
      </c>
      <c r="G6" s="858" t="s">
        <v>1172</v>
      </c>
      <c r="H6" s="858" t="s">
        <v>1173</v>
      </c>
      <c r="I6" s="858" t="s">
        <v>1174</v>
      </c>
      <c r="J6" s="858" t="s">
        <v>1175</v>
      </c>
      <c r="K6" s="858" t="s">
        <v>1176</v>
      </c>
      <c r="M6" s="386"/>
      <c r="N6" s="387"/>
      <c r="O6" s="387"/>
      <c r="P6" s="387"/>
      <c r="Q6" s="387"/>
      <c r="R6" s="387"/>
      <c r="S6" s="387"/>
      <c r="T6" s="387"/>
      <c r="U6" s="387"/>
      <c r="V6" s="387"/>
      <c r="W6" s="387"/>
      <c r="X6" s="387"/>
      <c r="Y6" s="387"/>
    </row>
    <row r="7" spans="2:25" ht="30" x14ac:dyDescent="0.25">
      <c r="B7" s="311">
        <v>1</v>
      </c>
      <c r="C7" s="822" t="s">
        <v>1125</v>
      </c>
      <c r="D7" s="857">
        <v>0</v>
      </c>
      <c r="E7" s="857">
        <v>0</v>
      </c>
      <c r="F7" s="857">
        <v>0</v>
      </c>
      <c r="G7" s="857">
        <v>0</v>
      </c>
      <c r="H7" s="857">
        <v>0</v>
      </c>
      <c r="I7" s="857">
        <v>0</v>
      </c>
      <c r="J7" s="857">
        <v>0</v>
      </c>
      <c r="K7" s="857">
        <v>0</v>
      </c>
    </row>
    <row r="8" spans="2:25" x14ac:dyDescent="0.25">
      <c r="B8" s="311">
        <v>2</v>
      </c>
      <c r="C8" s="381" t="s">
        <v>1177</v>
      </c>
      <c r="D8" s="380">
        <v>0</v>
      </c>
      <c r="E8" s="380">
        <v>0</v>
      </c>
      <c r="F8" s="380">
        <v>0</v>
      </c>
      <c r="G8" s="380">
        <v>0</v>
      </c>
      <c r="H8" s="380">
        <v>0</v>
      </c>
      <c r="I8" s="380">
        <v>0</v>
      </c>
      <c r="J8" s="380">
        <v>0</v>
      </c>
      <c r="K8" s="380">
        <v>0</v>
      </c>
    </row>
    <row r="9" spans="2:25" ht="45" x14ac:dyDescent="0.25">
      <c r="B9" s="311">
        <v>3</v>
      </c>
      <c r="C9" s="381" t="s">
        <v>1178</v>
      </c>
      <c r="D9" s="380">
        <v>0</v>
      </c>
      <c r="E9" s="380">
        <v>0</v>
      </c>
      <c r="F9" s="380">
        <v>0</v>
      </c>
      <c r="G9" s="380">
        <v>0</v>
      </c>
      <c r="H9" s="380">
        <v>0</v>
      </c>
      <c r="I9" s="380">
        <v>0</v>
      </c>
      <c r="J9" s="380">
        <v>0</v>
      </c>
      <c r="K9" s="380">
        <v>0</v>
      </c>
    </row>
    <row r="10" spans="2:25" ht="45" x14ac:dyDescent="0.25">
      <c r="B10" s="311">
        <v>4</v>
      </c>
      <c r="C10" s="381" t="s">
        <v>1179</v>
      </c>
      <c r="D10" s="380">
        <v>0</v>
      </c>
      <c r="E10" s="380">
        <v>0</v>
      </c>
      <c r="F10" s="380">
        <v>0</v>
      </c>
      <c r="G10" s="380">
        <v>0</v>
      </c>
      <c r="H10" s="380">
        <v>0</v>
      </c>
      <c r="I10" s="380">
        <v>0</v>
      </c>
      <c r="J10" s="380">
        <v>0</v>
      </c>
      <c r="K10" s="380">
        <v>0</v>
      </c>
    </row>
    <row r="11" spans="2:25" x14ac:dyDescent="0.25">
      <c r="B11" s="311">
        <v>5</v>
      </c>
      <c r="C11" s="381" t="s">
        <v>1180</v>
      </c>
      <c r="D11" s="380">
        <v>0</v>
      </c>
      <c r="E11" s="380">
        <v>0</v>
      </c>
      <c r="F11" s="380">
        <v>0</v>
      </c>
      <c r="G11" s="380">
        <v>0</v>
      </c>
      <c r="H11" s="380">
        <v>0</v>
      </c>
      <c r="I11" s="380">
        <v>0</v>
      </c>
      <c r="J11" s="380">
        <v>0</v>
      </c>
      <c r="K11" s="380">
        <v>0</v>
      </c>
    </row>
    <row r="12" spans="2:25" x14ac:dyDescent="0.25">
      <c r="B12" s="311">
        <v>6</v>
      </c>
      <c r="C12" s="381" t="s">
        <v>1181</v>
      </c>
      <c r="D12" s="380">
        <v>0</v>
      </c>
      <c r="E12" s="380">
        <v>0</v>
      </c>
      <c r="F12" s="380">
        <v>0</v>
      </c>
      <c r="G12" s="380">
        <v>0</v>
      </c>
      <c r="H12" s="380">
        <v>0</v>
      </c>
      <c r="I12" s="380">
        <v>0</v>
      </c>
      <c r="J12" s="380">
        <v>0</v>
      </c>
      <c r="K12" s="380">
        <v>0</v>
      </c>
    </row>
    <row r="13" spans="2:25" ht="30" x14ac:dyDescent="0.25">
      <c r="B13" s="184">
        <v>7</v>
      </c>
      <c r="C13" s="250" t="s">
        <v>1182</v>
      </c>
      <c r="D13" s="380">
        <v>0</v>
      </c>
      <c r="E13" s="380">
        <v>0</v>
      </c>
      <c r="F13" s="380">
        <v>0</v>
      </c>
      <c r="G13" s="380">
        <v>0</v>
      </c>
      <c r="H13" s="380">
        <v>0</v>
      </c>
      <c r="I13" s="380">
        <v>0</v>
      </c>
      <c r="J13" s="380">
        <v>0</v>
      </c>
      <c r="K13" s="380">
        <v>0</v>
      </c>
    </row>
    <row r="14" spans="2:25" x14ac:dyDescent="0.25">
      <c r="B14" s="184">
        <v>8</v>
      </c>
      <c r="C14" s="381" t="s">
        <v>1177</v>
      </c>
      <c r="D14" s="380">
        <v>0</v>
      </c>
      <c r="E14" s="380">
        <v>0</v>
      </c>
      <c r="F14" s="380">
        <v>0</v>
      </c>
      <c r="G14" s="380">
        <v>0</v>
      </c>
      <c r="H14" s="380">
        <v>0</v>
      </c>
      <c r="I14" s="380">
        <v>0</v>
      </c>
      <c r="J14" s="380">
        <v>0</v>
      </c>
      <c r="K14" s="380">
        <v>0</v>
      </c>
    </row>
    <row r="15" spans="2:25" ht="45" x14ac:dyDescent="0.25">
      <c r="B15" s="184">
        <v>9</v>
      </c>
      <c r="C15" s="381" t="s">
        <v>1178</v>
      </c>
      <c r="D15" s="380">
        <v>0</v>
      </c>
      <c r="E15" s="380">
        <v>0</v>
      </c>
      <c r="F15" s="380">
        <v>0</v>
      </c>
      <c r="G15" s="380">
        <v>0</v>
      </c>
      <c r="H15" s="380">
        <v>0</v>
      </c>
      <c r="I15" s="380">
        <v>0</v>
      </c>
      <c r="J15" s="380">
        <v>0</v>
      </c>
      <c r="K15" s="380">
        <v>0</v>
      </c>
    </row>
    <row r="16" spans="2:25" ht="45" x14ac:dyDescent="0.25">
      <c r="B16" s="184">
        <v>10</v>
      </c>
      <c r="C16" s="381" t="s">
        <v>1179</v>
      </c>
      <c r="D16" s="380">
        <v>0</v>
      </c>
      <c r="E16" s="380">
        <v>0</v>
      </c>
      <c r="F16" s="380">
        <v>0</v>
      </c>
      <c r="G16" s="380">
        <v>0</v>
      </c>
      <c r="H16" s="380">
        <v>0</v>
      </c>
      <c r="I16" s="380">
        <v>0</v>
      </c>
      <c r="J16" s="380">
        <v>0</v>
      </c>
      <c r="K16" s="380">
        <v>0</v>
      </c>
    </row>
    <row r="17" spans="2:25" x14ac:dyDescent="0.25">
      <c r="B17" s="184">
        <v>11</v>
      </c>
      <c r="C17" s="381" t="s">
        <v>1180</v>
      </c>
      <c r="D17" s="380">
        <v>0</v>
      </c>
      <c r="E17" s="380">
        <v>0</v>
      </c>
      <c r="F17" s="380">
        <v>0</v>
      </c>
      <c r="G17" s="380">
        <v>0</v>
      </c>
      <c r="H17" s="380">
        <v>0</v>
      </c>
      <c r="I17" s="380">
        <v>0</v>
      </c>
      <c r="J17" s="380">
        <v>0</v>
      </c>
      <c r="K17" s="380">
        <v>0</v>
      </c>
    </row>
    <row r="18" spans="2:25" x14ac:dyDescent="0.25">
      <c r="B18" s="184">
        <v>12</v>
      </c>
      <c r="C18" s="381" t="s">
        <v>1181</v>
      </c>
      <c r="D18" s="380">
        <v>0</v>
      </c>
      <c r="E18" s="380">
        <v>0</v>
      </c>
      <c r="F18" s="380">
        <v>0</v>
      </c>
      <c r="G18" s="380">
        <v>0</v>
      </c>
      <c r="H18" s="380">
        <v>0</v>
      </c>
      <c r="I18" s="380">
        <v>0</v>
      </c>
      <c r="J18" s="380">
        <v>0</v>
      </c>
      <c r="K18" s="380">
        <v>0</v>
      </c>
    </row>
    <row r="19" spans="2:25" x14ac:dyDescent="0.25">
      <c r="B19" s="184">
        <v>13</v>
      </c>
      <c r="C19" s="1" t="s">
        <v>1127</v>
      </c>
      <c r="D19" s="380">
        <v>0</v>
      </c>
      <c r="E19" s="380">
        <v>0</v>
      </c>
      <c r="F19" s="380">
        <v>0</v>
      </c>
      <c r="G19" s="380">
        <v>0</v>
      </c>
      <c r="H19" s="380">
        <v>0</v>
      </c>
      <c r="I19" s="380">
        <v>0</v>
      </c>
      <c r="J19" s="380">
        <v>0</v>
      </c>
      <c r="K19" s="380">
        <v>0</v>
      </c>
    </row>
    <row r="20" spans="2:25" x14ac:dyDescent="0.25">
      <c r="B20" s="184">
        <v>14</v>
      </c>
      <c r="C20" s="381" t="s">
        <v>1177</v>
      </c>
      <c r="D20" s="380">
        <v>0</v>
      </c>
      <c r="E20" s="380">
        <v>0</v>
      </c>
      <c r="F20" s="380">
        <v>0</v>
      </c>
      <c r="G20" s="380">
        <v>0</v>
      </c>
      <c r="H20" s="380">
        <v>0</v>
      </c>
      <c r="I20" s="380">
        <v>0</v>
      </c>
      <c r="J20" s="380">
        <v>0</v>
      </c>
      <c r="K20" s="380">
        <v>0</v>
      </c>
    </row>
    <row r="21" spans="2:25" ht="45" x14ac:dyDescent="0.25">
      <c r="B21" s="184">
        <v>15</v>
      </c>
      <c r="C21" s="381" t="s">
        <v>1178</v>
      </c>
      <c r="D21" s="380">
        <v>0</v>
      </c>
      <c r="E21" s="380">
        <v>0</v>
      </c>
      <c r="F21" s="380">
        <v>0</v>
      </c>
      <c r="G21" s="380">
        <v>0</v>
      </c>
      <c r="H21" s="380">
        <v>0</v>
      </c>
      <c r="I21" s="380">
        <v>0</v>
      </c>
      <c r="J21" s="380">
        <v>0</v>
      </c>
      <c r="K21" s="380">
        <v>0</v>
      </c>
    </row>
    <row r="22" spans="2:25" ht="45" x14ac:dyDescent="0.25">
      <c r="B22" s="184">
        <v>16</v>
      </c>
      <c r="C22" s="381" t="s">
        <v>1179</v>
      </c>
      <c r="D22" s="380">
        <v>0</v>
      </c>
      <c r="E22" s="380">
        <v>0</v>
      </c>
      <c r="F22" s="380">
        <v>0</v>
      </c>
      <c r="G22" s="380">
        <v>0</v>
      </c>
      <c r="H22" s="380">
        <v>0</v>
      </c>
      <c r="I22" s="380">
        <v>0</v>
      </c>
      <c r="J22" s="380">
        <v>0</v>
      </c>
      <c r="K22" s="380">
        <v>0</v>
      </c>
    </row>
    <row r="23" spans="2:25" x14ac:dyDescent="0.25">
      <c r="B23" s="184">
        <v>17</v>
      </c>
      <c r="C23" s="381" t="s">
        <v>1180</v>
      </c>
      <c r="D23" s="380">
        <v>0</v>
      </c>
      <c r="E23" s="380">
        <v>0</v>
      </c>
      <c r="F23" s="380">
        <v>0</v>
      </c>
      <c r="G23" s="380">
        <v>0</v>
      </c>
      <c r="H23" s="380">
        <v>0</v>
      </c>
      <c r="I23" s="380">
        <v>0</v>
      </c>
      <c r="J23" s="380">
        <v>0</v>
      </c>
      <c r="K23" s="380">
        <v>0</v>
      </c>
    </row>
    <row r="24" spans="2:25" x14ac:dyDescent="0.25">
      <c r="B24" s="184">
        <v>18</v>
      </c>
      <c r="C24" s="381" t="s">
        <v>1181</v>
      </c>
      <c r="D24" s="380">
        <v>0</v>
      </c>
      <c r="E24" s="380">
        <v>0</v>
      </c>
      <c r="F24" s="380">
        <v>0</v>
      </c>
      <c r="G24" s="380">
        <v>0</v>
      </c>
      <c r="H24" s="380">
        <v>0</v>
      </c>
      <c r="I24" s="380">
        <v>0</v>
      </c>
      <c r="J24" s="380">
        <v>0</v>
      </c>
      <c r="K24" s="380">
        <v>0</v>
      </c>
    </row>
    <row r="25" spans="2:25" ht="30" x14ac:dyDescent="0.25">
      <c r="B25" s="184">
        <v>19</v>
      </c>
      <c r="C25" s="351" t="s">
        <v>1128</v>
      </c>
      <c r="D25" s="380">
        <v>0</v>
      </c>
      <c r="E25" s="380">
        <v>0</v>
      </c>
      <c r="F25" s="380">
        <v>0</v>
      </c>
      <c r="G25" s="380">
        <v>0</v>
      </c>
      <c r="H25" s="380">
        <v>0</v>
      </c>
      <c r="I25" s="380">
        <v>0</v>
      </c>
      <c r="J25" s="380">
        <v>0</v>
      </c>
      <c r="K25" s="380">
        <v>0</v>
      </c>
    </row>
    <row r="26" spans="2:25" x14ac:dyDescent="0.25">
      <c r="B26" s="184">
        <v>20</v>
      </c>
      <c r="C26" s="381" t="s">
        <v>1177</v>
      </c>
      <c r="D26" s="380">
        <v>0</v>
      </c>
      <c r="E26" s="380">
        <v>0</v>
      </c>
      <c r="F26" s="380">
        <v>0</v>
      </c>
      <c r="G26" s="380">
        <v>0</v>
      </c>
      <c r="H26" s="380">
        <v>0</v>
      </c>
      <c r="I26" s="380">
        <v>0</v>
      </c>
      <c r="J26" s="380">
        <v>0</v>
      </c>
      <c r="K26" s="380">
        <v>0</v>
      </c>
      <c r="M26" s="387"/>
    </row>
    <row r="27" spans="2:25" ht="45" x14ac:dyDescent="0.25">
      <c r="B27" s="184">
        <v>21</v>
      </c>
      <c r="C27" s="381" t="s">
        <v>1178</v>
      </c>
      <c r="D27" s="380">
        <v>0</v>
      </c>
      <c r="E27" s="380">
        <v>0</v>
      </c>
      <c r="F27" s="380">
        <v>0</v>
      </c>
      <c r="G27" s="380">
        <v>0</v>
      </c>
      <c r="H27" s="380">
        <v>0</v>
      </c>
      <c r="I27" s="380">
        <v>0</v>
      </c>
      <c r="J27" s="380">
        <v>0</v>
      </c>
      <c r="K27" s="380">
        <v>0</v>
      </c>
    </row>
    <row r="28" spans="2:25" ht="45" x14ac:dyDescent="0.25">
      <c r="B28" s="184">
        <v>22</v>
      </c>
      <c r="C28" s="381" t="s">
        <v>1179</v>
      </c>
      <c r="D28" s="380">
        <v>0</v>
      </c>
      <c r="E28" s="380">
        <v>0</v>
      </c>
      <c r="F28" s="380">
        <v>0</v>
      </c>
      <c r="G28" s="380">
        <v>0</v>
      </c>
      <c r="H28" s="380">
        <v>0</v>
      </c>
      <c r="I28" s="380">
        <v>0</v>
      </c>
      <c r="J28" s="380">
        <v>0</v>
      </c>
      <c r="K28" s="380">
        <v>0</v>
      </c>
    </row>
    <row r="29" spans="2:25" x14ac:dyDescent="0.25">
      <c r="B29" s="184">
        <v>23</v>
      </c>
      <c r="C29" s="381" t="s">
        <v>1180</v>
      </c>
      <c r="D29" s="380">
        <v>0</v>
      </c>
      <c r="E29" s="380">
        <v>0</v>
      </c>
      <c r="F29" s="380">
        <v>0</v>
      </c>
      <c r="G29" s="380">
        <v>0</v>
      </c>
      <c r="H29" s="380">
        <v>0</v>
      </c>
      <c r="I29" s="380">
        <v>0</v>
      </c>
      <c r="J29" s="380">
        <v>0</v>
      </c>
      <c r="K29" s="380">
        <v>0</v>
      </c>
    </row>
    <row r="30" spans="2:25" x14ac:dyDescent="0.25">
      <c r="B30" s="184">
        <v>24</v>
      </c>
      <c r="C30" s="381" t="s">
        <v>1181</v>
      </c>
      <c r="D30" s="380">
        <v>0</v>
      </c>
      <c r="E30" s="380">
        <v>0</v>
      </c>
      <c r="F30" s="380">
        <v>0</v>
      </c>
      <c r="G30" s="380">
        <v>0</v>
      </c>
      <c r="H30" s="380">
        <v>0</v>
      </c>
      <c r="I30" s="380">
        <v>0</v>
      </c>
      <c r="J30" s="380">
        <v>0</v>
      </c>
      <c r="K30" s="380">
        <v>0</v>
      </c>
    </row>
    <row r="31" spans="2:25" ht="18.75" x14ac:dyDescent="0.3">
      <c r="B31" s="184">
        <v>25</v>
      </c>
      <c r="C31" s="185" t="s">
        <v>1183</v>
      </c>
      <c r="D31" s="380">
        <v>0</v>
      </c>
      <c r="E31" s="380">
        <v>0</v>
      </c>
      <c r="F31" s="380">
        <v>0</v>
      </c>
      <c r="G31" s="380">
        <v>0</v>
      </c>
      <c r="H31" s="380">
        <v>0</v>
      </c>
      <c r="I31" s="380">
        <v>0</v>
      </c>
      <c r="J31" s="380">
        <v>0</v>
      </c>
      <c r="K31" s="380">
        <v>0</v>
      </c>
      <c r="Y31" s="422"/>
    </row>
  </sheetData>
  <hyperlinks>
    <hyperlink ref="B2" location="Indhold!B61" display="Skema EU REM3 – Udskudt aflønning " xr:uid="{B06BC55D-BCA6-44A0-AA18-8D8D2E7EE926}"/>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&amp;CDA
Bilag XXXIII</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CF3A-2A62-4281-9C0F-8785AE845F53}">
  <sheetPr>
    <tabColor rgb="FF0070C0"/>
  </sheetPr>
  <dimension ref="B2:Q22"/>
  <sheetViews>
    <sheetView showGridLines="0" zoomScaleNormal="100" workbookViewId="0">
      <selection activeCell="B2" sqref="B2"/>
    </sheetView>
  </sheetViews>
  <sheetFormatPr defaultColWidth="9.140625" defaultRowHeight="15" x14ac:dyDescent="0.25"/>
  <cols>
    <col min="2" max="2" width="8.7109375" customWidth="1"/>
    <col min="3" max="3" width="42.28515625" customWidth="1"/>
    <col min="4" max="4" width="48.140625" customWidth="1"/>
    <col min="8" max="8" width="42.28515625" customWidth="1"/>
    <col min="9" max="9" width="48.140625" customWidth="1"/>
  </cols>
  <sheetData>
    <row r="2" spans="2:17" ht="18.75" x14ac:dyDescent="0.3">
      <c r="B2" s="878" t="s">
        <v>1184</v>
      </c>
      <c r="C2" s="422"/>
      <c r="D2" s="422"/>
      <c r="E2" s="422"/>
      <c r="F2" s="422"/>
      <c r="G2" s="422"/>
      <c r="H2" s="422"/>
      <c r="I2" s="422"/>
      <c r="J2" s="422"/>
      <c r="K2" s="422"/>
      <c r="L2" s="422"/>
      <c r="M2" s="422"/>
      <c r="N2" s="422"/>
      <c r="O2" s="422"/>
      <c r="P2" s="422"/>
      <c r="Q2" s="422"/>
    </row>
    <row r="3" spans="2:17" ht="15" customHeight="1" x14ac:dyDescent="0.3">
      <c r="B3" s="422"/>
      <c r="C3" s="422"/>
      <c r="D3" s="422"/>
      <c r="E3" s="422"/>
      <c r="F3" s="422"/>
      <c r="G3" s="422"/>
      <c r="H3" s="422"/>
      <c r="I3" s="422"/>
      <c r="J3" s="422"/>
      <c r="K3" s="422"/>
      <c r="L3" s="422"/>
      <c r="M3" s="422"/>
      <c r="N3" s="422"/>
      <c r="O3" s="422"/>
      <c r="P3" s="422"/>
      <c r="Q3" s="422"/>
    </row>
    <row r="4" spans="2:17" ht="15" customHeight="1" x14ac:dyDescent="0.3">
      <c r="B4" s="422"/>
      <c r="C4" s="422"/>
      <c r="D4" s="422"/>
      <c r="E4" s="422"/>
      <c r="F4" s="422"/>
      <c r="G4" s="422"/>
      <c r="H4" s="422"/>
      <c r="I4" s="422"/>
      <c r="J4" s="422"/>
      <c r="K4" s="422"/>
      <c r="L4" s="422"/>
      <c r="M4" s="422"/>
      <c r="N4" s="422"/>
      <c r="O4" s="422"/>
      <c r="P4" s="422"/>
      <c r="Q4" s="422"/>
    </row>
    <row r="5" spans="2:17" ht="18" customHeight="1" x14ac:dyDescent="0.25">
      <c r="B5" s="514"/>
      <c r="C5" s="514"/>
      <c r="D5" s="845" t="s">
        <v>105</v>
      </c>
    </row>
    <row r="6" spans="2:17" ht="30" x14ac:dyDescent="0.25">
      <c r="B6" s="514"/>
      <c r="C6" s="823" t="s">
        <v>1185</v>
      </c>
      <c r="D6" s="861" t="s">
        <v>1186</v>
      </c>
    </row>
    <row r="7" spans="2:17" x14ac:dyDescent="0.25">
      <c r="B7" s="184">
        <v>1</v>
      </c>
      <c r="C7" s="859" t="s">
        <v>1187</v>
      </c>
      <c r="D7" s="860">
        <v>0</v>
      </c>
    </row>
    <row r="8" spans="2:17" x14ac:dyDescent="0.25">
      <c r="B8" s="184">
        <v>2</v>
      </c>
      <c r="C8" s="388" t="s">
        <v>1188</v>
      </c>
      <c r="D8" s="389">
        <v>0</v>
      </c>
    </row>
    <row r="9" spans="2:17" x14ac:dyDescent="0.25">
      <c r="B9" s="184">
        <v>3</v>
      </c>
      <c r="C9" s="388" t="s">
        <v>1189</v>
      </c>
      <c r="D9" s="389">
        <v>0</v>
      </c>
    </row>
    <row r="10" spans="2:17" x14ac:dyDescent="0.25">
      <c r="B10" s="184">
        <v>4</v>
      </c>
      <c r="C10" s="388" t="s">
        <v>1190</v>
      </c>
      <c r="D10" s="389">
        <v>0</v>
      </c>
    </row>
    <row r="11" spans="2:17" x14ac:dyDescent="0.25">
      <c r="B11" s="184">
        <v>5</v>
      </c>
      <c r="C11" s="388" t="s">
        <v>1191</v>
      </c>
      <c r="D11" s="389">
        <v>0</v>
      </c>
    </row>
    <row r="12" spans="2:17" x14ac:dyDescent="0.25">
      <c r="B12" s="184">
        <v>6</v>
      </c>
      <c r="C12" s="388" t="s">
        <v>1192</v>
      </c>
      <c r="D12" s="389">
        <v>0</v>
      </c>
    </row>
    <row r="13" spans="2:17" x14ac:dyDescent="0.25">
      <c r="B13" s="184">
        <v>7</v>
      </c>
      <c r="C13" s="388" t="s">
        <v>1193</v>
      </c>
      <c r="D13" s="389">
        <v>0</v>
      </c>
    </row>
    <row r="14" spans="2:17" x14ac:dyDescent="0.25">
      <c r="B14" s="184">
        <v>8</v>
      </c>
      <c r="C14" s="388" t="s">
        <v>1194</v>
      </c>
      <c r="D14" s="389">
        <v>0</v>
      </c>
    </row>
    <row r="15" spans="2:17" x14ac:dyDescent="0.25">
      <c r="B15" s="184">
        <v>9</v>
      </c>
      <c r="C15" s="388" t="s">
        <v>1195</v>
      </c>
      <c r="D15" s="389">
        <v>0</v>
      </c>
    </row>
    <row r="16" spans="2:17" x14ac:dyDescent="0.25">
      <c r="B16" s="184">
        <v>10</v>
      </c>
      <c r="C16" s="388" t="s">
        <v>1196</v>
      </c>
      <c r="D16" s="389">
        <v>0</v>
      </c>
    </row>
    <row r="17" spans="2:4" x14ac:dyDescent="0.25">
      <c r="B17" s="184">
        <v>11</v>
      </c>
      <c r="C17" s="388" t="s">
        <v>1197</v>
      </c>
      <c r="D17" s="389">
        <v>0</v>
      </c>
    </row>
    <row r="18" spans="2:4" ht="30" x14ac:dyDescent="0.25">
      <c r="B18" s="46" t="s">
        <v>938</v>
      </c>
      <c r="C18" s="351" t="s">
        <v>1198</v>
      </c>
      <c r="D18" s="389"/>
    </row>
    <row r="22" spans="2:4" x14ac:dyDescent="0.25">
      <c r="D22" s="34"/>
    </row>
  </sheetData>
  <hyperlinks>
    <hyperlink ref="B2" location="Indhold!B62" display="Skema EU REM4 – Aflønning på 1 mio. EUR eller derover pr. regnskabsår" xr:uid="{62E22777-A5DB-4D8D-A72A-0954AEFE7FC6}"/>
  </hyperlinks>
  <pageMargins left="0.70866141732283472" right="0.70866141732283472" top="0.74803149606299213" bottom="0.74803149606299213" header="0.31496062992125984" footer="0.31496062992125984"/>
  <pageSetup paperSize="9" orientation="landscape" r:id="rId1"/>
  <headerFooter>
    <oddHeader>&amp;CDA 
Bilag XXXIII</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5EDDB-862F-4D0B-A149-B0A7C2E1E8BF}">
  <sheetPr>
    <tabColor rgb="FF0070C0"/>
  </sheetPr>
  <dimension ref="B2:AJ23"/>
  <sheetViews>
    <sheetView showGridLines="0" zoomScaleNormal="100" workbookViewId="0">
      <selection activeCell="B2" sqref="B2"/>
    </sheetView>
  </sheetViews>
  <sheetFormatPr defaultColWidth="8.85546875" defaultRowHeight="12.75" x14ac:dyDescent="0.25"/>
  <cols>
    <col min="1" max="1" width="8.85546875" style="392"/>
    <col min="2" max="2" width="5.7109375" style="392" customWidth="1"/>
    <col min="3" max="3" width="72" style="392" customWidth="1"/>
    <col min="4" max="8" width="17.7109375" style="392" customWidth="1"/>
    <col min="9" max="9" width="19.42578125" style="392" customWidth="1"/>
    <col min="10" max="11" width="17.7109375" style="392" customWidth="1"/>
    <col min="12" max="12" width="13.7109375" style="392" customWidth="1"/>
    <col min="13" max="16384" width="8.85546875" style="392"/>
  </cols>
  <sheetData>
    <row r="2" spans="2:36" ht="18.75" x14ac:dyDescent="0.3">
      <c r="B2" s="878" t="s">
        <v>1228</v>
      </c>
      <c r="D2" s="422"/>
      <c r="E2" s="422"/>
      <c r="F2" s="422"/>
      <c r="G2" s="422"/>
      <c r="H2" s="422"/>
      <c r="I2" s="422"/>
      <c r="J2" s="422"/>
      <c r="K2" s="422"/>
      <c r="L2" s="422"/>
      <c r="M2" s="422"/>
      <c r="N2" s="422"/>
      <c r="O2" s="422"/>
      <c r="P2" s="422"/>
      <c r="Q2" s="422"/>
      <c r="R2" s="422"/>
    </row>
    <row r="3" spans="2:36" ht="15" customHeight="1" x14ac:dyDescent="0.25">
      <c r="B3" s="401"/>
      <c r="C3" s="403"/>
      <c r="D3" s="402"/>
      <c r="E3" s="402"/>
      <c r="F3" s="402"/>
      <c r="G3" s="402"/>
    </row>
    <row r="4" spans="2:36" s="394" customFormat="1" ht="15" customHeight="1" x14ac:dyDescent="0.25">
      <c r="D4" s="395"/>
      <c r="E4" s="395"/>
      <c r="F4" s="395"/>
      <c r="G4" s="395"/>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row>
    <row r="5" spans="2:36" ht="15" x14ac:dyDescent="0.25">
      <c r="B5" s="863"/>
      <c r="C5" s="864"/>
      <c r="D5" s="1154" t="s">
        <v>1229</v>
      </c>
      <c r="E5" s="1155"/>
      <c r="F5" s="1158" t="s">
        <v>1230</v>
      </c>
      <c r="G5" s="1016"/>
    </row>
    <row r="6" spans="2:36" ht="15" x14ac:dyDescent="0.25">
      <c r="B6" s="863"/>
      <c r="C6" s="864"/>
      <c r="D6" s="1156"/>
      <c r="E6" s="1157"/>
      <c r="F6" s="1159" t="s">
        <v>1231</v>
      </c>
      <c r="G6" s="1157"/>
    </row>
    <row r="7" spans="2:36" ht="90" x14ac:dyDescent="0.25">
      <c r="B7" s="865"/>
      <c r="C7" s="866"/>
      <c r="D7" s="867"/>
      <c r="E7" s="868" t="s">
        <v>1219</v>
      </c>
      <c r="F7" s="869"/>
      <c r="G7" s="868" t="s">
        <v>1220</v>
      </c>
    </row>
    <row r="8" spans="2:36" ht="15" x14ac:dyDescent="0.25">
      <c r="B8" s="396"/>
      <c r="C8" s="404"/>
      <c r="D8" s="862" t="s">
        <v>348</v>
      </c>
      <c r="E8" s="862" t="s">
        <v>591</v>
      </c>
      <c r="F8" s="862" t="s">
        <v>593</v>
      </c>
      <c r="G8" s="862" t="s">
        <v>597</v>
      </c>
    </row>
    <row r="9" spans="2:36" ht="15" x14ac:dyDescent="0.25">
      <c r="B9" s="398" t="s">
        <v>608</v>
      </c>
      <c r="C9" s="405" t="s">
        <v>1232</v>
      </c>
      <c r="D9" s="399">
        <v>0</v>
      </c>
      <c r="E9" s="399">
        <v>0</v>
      </c>
      <c r="F9" s="399">
        <v>0</v>
      </c>
      <c r="G9" s="399">
        <v>0</v>
      </c>
    </row>
    <row r="10" spans="2:36" ht="15" x14ac:dyDescent="0.25">
      <c r="B10" s="397" t="s">
        <v>609</v>
      </c>
      <c r="C10" s="406" t="s">
        <v>1233</v>
      </c>
      <c r="D10" s="399">
        <v>0</v>
      </c>
      <c r="E10" s="399">
        <v>0</v>
      </c>
      <c r="F10" s="399">
        <v>0</v>
      </c>
      <c r="G10" s="399">
        <v>0</v>
      </c>
    </row>
    <row r="11" spans="2:36" ht="15" x14ac:dyDescent="0.25">
      <c r="B11" s="397" t="s">
        <v>610</v>
      </c>
      <c r="C11" s="406" t="s">
        <v>956</v>
      </c>
      <c r="D11" s="399">
        <v>0</v>
      </c>
      <c r="E11" s="399">
        <v>0</v>
      </c>
      <c r="F11" s="399">
        <v>0</v>
      </c>
      <c r="G11" s="399">
        <v>0</v>
      </c>
    </row>
    <row r="12" spans="2:36" ht="15" x14ac:dyDescent="0.25">
      <c r="B12" s="397" t="s">
        <v>611</v>
      </c>
      <c r="C12" s="406" t="s">
        <v>604</v>
      </c>
      <c r="D12" s="399">
        <v>0</v>
      </c>
      <c r="E12" s="399">
        <v>0</v>
      </c>
      <c r="F12" s="399">
        <v>0</v>
      </c>
      <c r="G12" s="399">
        <v>0</v>
      </c>
    </row>
    <row r="13" spans="2:36" ht="30" x14ac:dyDescent="0.25">
      <c r="B13" s="397" t="s">
        <v>612</v>
      </c>
      <c r="C13" s="407" t="s">
        <v>1222</v>
      </c>
      <c r="D13" s="399">
        <v>0</v>
      </c>
      <c r="E13" s="399">
        <v>0</v>
      </c>
      <c r="F13" s="399">
        <v>0</v>
      </c>
      <c r="G13" s="399">
        <v>0</v>
      </c>
    </row>
    <row r="14" spans="2:36" ht="15" x14ac:dyDescent="0.25">
      <c r="B14" s="397" t="s">
        <v>613</v>
      </c>
      <c r="C14" s="408" t="s">
        <v>1223</v>
      </c>
      <c r="D14" s="399">
        <v>0</v>
      </c>
      <c r="E14" s="399">
        <v>0</v>
      </c>
      <c r="F14" s="399">
        <v>0</v>
      </c>
      <c r="G14" s="399">
        <v>0</v>
      </c>
    </row>
    <row r="15" spans="2:36" ht="15" x14ac:dyDescent="0.25">
      <c r="B15" s="397" t="s">
        <v>614</v>
      </c>
      <c r="C15" s="407" t="s">
        <v>1224</v>
      </c>
      <c r="D15" s="399">
        <v>0</v>
      </c>
      <c r="E15" s="399">
        <v>0</v>
      </c>
      <c r="F15" s="399">
        <v>0</v>
      </c>
      <c r="G15" s="399">
        <v>0</v>
      </c>
    </row>
    <row r="16" spans="2:36" ht="15" x14ac:dyDescent="0.25">
      <c r="B16" s="397" t="s">
        <v>615</v>
      </c>
      <c r="C16" s="407" t="s">
        <v>1225</v>
      </c>
      <c r="D16" s="399">
        <v>0</v>
      </c>
      <c r="E16" s="399">
        <v>0</v>
      </c>
      <c r="F16" s="399">
        <v>0</v>
      </c>
      <c r="G16" s="399">
        <v>0</v>
      </c>
    </row>
    <row r="17" spans="2:7" ht="15" x14ac:dyDescent="0.25">
      <c r="B17" s="397" t="s">
        <v>616</v>
      </c>
      <c r="C17" s="407" t="s">
        <v>1226</v>
      </c>
      <c r="D17" s="399">
        <v>0</v>
      </c>
      <c r="E17" s="399">
        <v>0</v>
      </c>
      <c r="F17" s="399">
        <v>0</v>
      </c>
      <c r="G17" s="399">
        <v>0</v>
      </c>
    </row>
    <row r="18" spans="2:7" ht="15" x14ac:dyDescent="0.25">
      <c r="B18" s="397" t="s">
        <v>617</v>
      </c>
      <c r="C18" s="406" t="s">
        <v>1234</v>
      </c>
      <c r="D18" s="399">
        <v>0</v>
      </c>
      <c r="E18" s="399">
        <v>0</v>
      </c>
      <c r="F18" s="399">
        <v>0</v>
      </c>
      <c r="G18" s="399">
        <v>0</v>
      </c>
    </row>
    <row r="19" spans="2:7" ht="15" x14ac:dyDescent="0.25">
      <c r="B19" s="397" t="s">
        <v>1235</v>
      </c>
      <c r="C19" s="406" t="s">
        <v>1236</v>
      </c>
      <c r="D19" s="399">
        <v>0</v>
      </c>
      <c r="E19" s="399">
        <v>0</v>
      </c>
      <c r="F19" s="399">
        <v>0</v>
      </c>
      <c r="G19" s="399">
        <v>0</v>
      </c>
    </row>
    <row r="20" spans="2:7" ht="30" x14ac:dyDescent="0.25">
      <c r="B20" s="398" t="s">
        <v>1237</v>
      </c>
      <c r="C20" s="405" t="s">
        <v>1238</v>
      </c>
      <c r="D20" s="399">
        <v>0</v>
      </c>
      <c r="E20" s="399">
        <v>0</v>
      </c>
      <c r="F20" s="399">
        <v>0</v>
      </c>
      <c r="G20" s="399">
        <v>0</v>
      </c>
    </row>
    <row r="21" spans="2:7" ht="45" x14ac:dyDescent="0.25">
      <c r="B21" s="398">
        <v>241</v>
      </c>
      <c r="C21" s="405" t="s">
        <v>1239</v>
      </c>
      <c r="D21" s="400"/>
      <c r="E21" s="400"/>
      <c r="F21" s="399">
        <v>0</v>
      </c>
      <c r="G21" s="399">
        <v>0</v>
      </c>
    </row>
    <row r="22" spans="2:7" ht="30" x14ac:dyDescent="0.25">
      <c r="B22" s="398">
        <v>250</v>
      </c>
      <c r="C22" s="409" t="s">
        <v>1240</v>
      </c>
      <c r="D22" s="399">
        <v>0</v>
      </c>
      <c r="E22" s="399">
        <v>0</v>
      </c>
      <c r="F22" s="400"/>
      <c r="G22" s="400"/>
    </row>
    <row r="23" spans="2:7" x14ac:dyDescent="0.25">
      <c r="C23" s="410"/>
    </row>
  </sheetData>
  <mergeCells count="3">
    <mergeCell ref="D5:E6"/>
    <mergeCell ref="F5:G5"/>
    <mergeCell ref="F6:G6"/>
  </mergeCells>
  <conditionalFormatting sqref="D5:D18 E8:E18 F7:F18 E5:F6 D22:F22 F21 H9:H22 G8:G22 D3:J3 D19:F20">
    <cfRule type="cellIs" dxfId="7" priority="2" stopIfTrue="1" operator="lessThan">
      <formula>0</formula>
    </cfRule>
  </conditionalFormatting>
  <conditionalFormatting sqref="D21:E21">
    <cfRule type="cellIs" dxfId="6" priority="1" stopIfTrue="1" operator="lessThan">
      <formula>0</formula>
    </cfRule>
  </conditionalFormatting>
  <hyperlinks>
    <hyperlink ref="B2" location="Indhold!B63" display="Skema EU AE2 - Modtaget sikkerhedsstillelse og egne udstedte gældsværdipapirer" xr:uid="{87377063-0971-4E58-8BB9-02B00E460AE7}"/>
  </hyperlinks>
  <pageMargins left="0.70866141732283472" right="0.70866141732283472" top="0.74803149606299213" bottom="0.74803149606299213" header="0.31496062992125984" footer="0.31496062992125984"/>
  <pageSetup paperSize="9" scale="85" orientation="landscape" r:id="rId1"/>
  <headerFooter>
    <oddHeader>&amp;CDA
Bilag XXXV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6ABF-989D-4136-9912-D8618606AACC}">
  <sheetPr>
    <tabColor rgb="FF0070C0"/>
  </sheetPr>
  <dimension ref="B2:R11"/>
  <sheetViews>
    <sheetView showGridLines="0" zoomScaleNormal="100" workbookViewId="0">
      <selection activeCell="B2" sqref="B2"/>
    </sheetView>
  </sheetViews>
  <sheetFormatPr defaultColWidth="8.85546875" defaultRowHeight="12.75" x14ac:dyDescent="0.25"/>
  <cols>
    <col min="1" max="1" width="8.85546875" style="392"/>
    <col min="2" max="2" width="5.7109375" style="392" customWidth="1"/>
    <col min="3" max="3" width="72" style="392" customWidth="1"/>
    <col min="4" max="8" width="17.7109375" style="392" customWidth="1"/>
    <col min="9" max="9" width="19.42578125" style="392" customWidth="1"/>
    <col min="10" max="11" width="17.7109375" style="392" customWidth="1"/>
    <col min="12" max="12" width="13.7109375" style="392" customWidth="1"/>
    <col min="13" max="16384" width="8.85546875" style="392"/>
  </cols>
  <sheetData>
    <row r="2" spans="2:18" ht="20.100000000000001" customHeight="1" x14ac:dyDescent="0.3">
      <c r="B2" s="878" t="s">
        <v>1241</v>
      </c>
      <c r="D2" s="422"/>
      <c r="E2" s="422"/>
      <c r="F2" s="422"/>
      <c r="G2" s="422"/>
      <c r="H2" s="422"/>
      <c r="I2" s="422"/>
      <c r="J2" s="422"/>
      <c r="K2" s="422"/>
      <c r="L2" s="422"/>
      <c r="M2" s="422"/>
      <c r="N2" s="422"/>
      <c r="O2" s="422"/>
      <c r="P2" s="422"/>
      <c r="Q2" s="422"/>
      <c r="R2" s="422"/>
    </row>
    <row r="3" spans="2:18" ht="15" customHeight="1" x14ac:dyDescent="0.25">
      <c r="C3" s="403"/>
      <c r="D3" s="393"/>
      <c r="E3" s="393"/>
      <c r="F3" s="393"/>
      <c r="G3" s="393"/>
      <c r="H3" s="393"/>
    </row>
    <row r="4" spans="2:18" ht="15" customHeight="1" x14ac:dyDescent="0.25">
      <c r="C4" s="403"/>
      <c r="D4" s="393"/>
      <c r="E4" s="393"/>
      <c r="F4" s="393"/>
      <c r="G4" s="393"/>
      <c r="H4" s="393"/>
    </row>
    <row r="5" spans="2:18" ht="150" customHeight="1" x14ac:dyDescent="0.25">
      <c r="B5" s="870"/>
      <c r="C5" s="871"/>
      <c r="D5" s="872" t="s">
        <v>1242</v>
      </c>
      <c r="E5" s="873" t="s">
        <v>1290</v>
      </c>
      <c r="F5" s="413"/>
      <c r="G5" s="413"/>
    </row>
    <row r="6" spans="2:18" ht="15.75" x14ac:dyDescent="0.25">
      <c r="B6" s="411"/>
      <c r="C6" s="412"/>
      <c r="D6" s="862" t="s">
        <v>348</v>
      </c>
      <c r="E6" s="862" t="s">
        <v>591</v>
      </c>
      <c r="F6" s="414"/>
      <c r="G6" s="414"/>
    </row>
    <row r="7" spans="2:18" ht="15" customHeight="1" x14ac:dyDescent="0.25">
      <c r="B7" s="398" t="s">
        <v>348</v>
      </c>
      <c r="C7" s="409" t="s">
        <v>1243</v>
      </c>
      <c r="D7" s="415">
        <v>0</v>
      </c>
      <c r="E7" s="415">
        <v>0</v>
      </c>
      <c r="F7" s="402"/>
      <c r="G7" s="402"/>
    </row>
    <row r="8" spans="2:18" ht="17.25" customHeight="1" x14ac:dyDescent="0.25">
      <c r="B8" s="416"/>
      <c r="C8" s="417"/>
    </row>
    <row r="10" spans="2:18" ht="14.25" x14ac:dyDescent="0.25">
      <c r="B10" s="418"/>
      <c r="C10" s="419"/>
      <c r="D10" s="419"/>
      <c r="E10" s="419"/>
      <c r="F10" s="419"/>
      <c r="G10" s="419"/>
      <c r="H10" s="419"/>
    </row>
    <row r="11" spans="2:18" x14ac:dyDescent="0.25">
      <c r="C11" s="410"/>
    </row>
  </sheetData>
  <conditionalFormatting sqref="D3:G7">
    <cfRule type="cellIs" dxfId="5" priority="1" stopIfTrue="1" operator="lessThan">
      <formula>0</formula>
    </cfRule>
  </conditionalFormatting>
  <hyperlinks>
    <hyperlink ref="B2" location="Indhold!B64" display="Skema EU AE3 – Behæftelseskilder" xr:uid="{BCC74852-DCFB-4444-BD12-8C9C867CD548}"/>
  </hyperlinks>
  <pageMargins left="0.70866141732283472" right="0.70866141732283472" top="0.74803149606299213" bottom="0.74803149606299213" header="0.31496062992125984" footer="0.31496062992125984"/>
  <pageSetup paperSize="9" orientation="landscape" r:id="rId1"/>
  <headerFooter>
    <oddHeader>&amp;CDA
Bilag XXXV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B7CA-8A7F-4F4D-80D2-9B48895DBF33}">
  <sheetPr>
    <tabColor rgb="FFFF0000"/>
  </sheetPr>
  <dimension ref="A2:D7"/>
  <sheetViews>
    <sheetView showGridLines="0" zoomScaleNormal="100" workbookViewId="0">
      <selection activeCell="A2" sqref="A2"/>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878" t="s">
        <v>106</v>
      </c>
    </row>
    <row r="5" spans="1:4" x14ac:dyDescent="0.25">
      <c r="B5" s="36"/>
      <c r="C5" s="16" t="s">
        <v>105</v>
      </c>
      <c r="D5" s="16" t="s">
        <v>104</v>
      </c>
    </row>
    <row r="6" spans="1:4" x14ac:dyDescent="0.25">
      <c r="B6" s="36"/>
      <c r="C6" s="16" t="s">
        <v>103</v>
      </c>
      <c r="D6" s="16" t="s">
        <v>102</v>
      </c>
    </row>
    <row r="7" spans="1:4" ht="30" x14ac:dyDescent="0.25">
      <c r="A7" s="16">
        <v>1</v>
      </c>
      <c r="B7" s="35" t="s">
        <v>101</v>
      </c>
      <c r="C7" s="16"/>
      <c r="D7" s="16"/>
    </row>
  </sheetData>
  <hyperlinks>
    <hyperlink ref="A2" location="Indhold!B67" display="Skema EU INS1 – Forsikringsinteresser" xr:uid="{26C62F76-6326-4FC7-B4FE-E81F2E47E68E}"/>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FAF0F-3E69-41E4-90F9-7234A0C0230D}">
  <sheetPr>
    <tabColor rgb="FFFF0000"/>
  </sheetPr>
  <dimension ref="A3:C10"/>
  <sheetViews>
    <sheetView showGridLines="0" zoomScaleNormal="100" workbookViewId="0">
      <selection activeCell="A3" sqref="A3"/>
    </sheetView>
  </sheetViews>
  <sheetFormatPr defaultRowHeight="15" x14ac:dyDescent="0.25"/>
  <cols>
    <col min="1" max="1" width="6.140625" customWidth="1"/>
    <col min="2" max="2" width="74.140625" customWidth="1"/>
    <col min="3" max="3" width="19.140625" customWidth="1"/>
  </cols>
  <sheetData>
    <row r="3" spans="1:3" x14ac:dyDescent="0.25">
      <c r="A3" s="878" t="s">
        <v>110</v>
      </c>
    </row>
    <row r="7" spans="1:3" x14ac:dyDescent="0.25">
      <c r="C7" s="16" t="s">
        <v>105</v>
      </c>
    </row>
    <row r="8" spans="1:3" x14ac:dyDescent="0.25">
      <c r="A8" s="39"/>
      <c r="B8" s="38"/>
      <c r="C8" s="16" t="s">
        <v>109</v>
      </c>
    </row>
    <row r="9" spans="1:3" ht="15.75" customHeight="1" x14ac:dyDescent="0.25">
      <c r="A9" s="16">
        <v>1</v>
      </c>
      <c r="B9" s="37" t="s">
        <v>108</v>
      </c>
      <c r="C9" s="16"/>
    </row>
    <row r="10" spans="1:3" x14ac:dyDescent="0.25">
      <c r="A10" s="16">
        <v>2</v>
      </c>
      <c r="B10" s="37" t="s">
        <v>107</v>
      </c>
      <c r="C10" s="16"/>
    </row>
  </sheetData>
  <hyperlinks>
    <hyperlink ref="A3" location="Indhold!B68" display="Skema EU INS2 – Finansielle konglomerater — Oplysninger om kapitalgrundlag og kapitalprocent" xr:uid="{1ED15F92-4EA2-407D-9DAB-EA141B4C120B}"/>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ABFC-4559-48FD-98EA-0CD3035C46AE}">
  <dimension ref="A1:J134"/>
  <sheetViews>
    <sheetView showGridLines="0" zoomScaleNormal="100" zoomScalePageLayoutView="80" workbookViewId="0">
      <selection activeCell="B2" sqref="B2"/>
    </sheetView>
  </sheetViews>
  <sheetFormatPr defaultRowHeight="15" x14ac:dyDescent="0.25"/>
  <cols>
    <col min="1" max="1" width="4.42578125" customWidth="1"/>
    <col min="2" max="2" width="8.42578125" customWidth="1"/>
    <col min="3" max="3" width="60.140625" customWidth="1"/>
    <col min="4" max="4" width="11.42578125" customWidth="1"/>
    <col min="5" max="5" width="11" customWidth="1"/>
    <col min="6" max="6" width="10.5703125" customWidth="1"/>
    <col min="7" max="7" width="11.5703125" customWidth="1"/>
    <col min="8" max="8" width="10.5703125" customWidth="1"/>
    <col min="13" max="13" width="10" bestFit="1" customWidth="1"/>
  </cols>
  <sheetData>
    <row r="1" spans="1:8" x14ac:dyDescent="0.25">
      <c r="A1" s="15"/>
    </row>
    <row r="2" spans="1:8" ht="18.75" x14ac:dyDescent="0.3">
      <c r="A2" s="15"/>
      <c r="B2" s="422" t="s">
        <v>100</v>
      </c>
    </row>
    <row r="3" spans="1:8" x14ac:dyDescent="0.25">
      <c r="A3" s="15"/>
      <c r="B3" s="34"/>
    </row>
    <row r="4" spans="1:8" x14ac:dyDescent="0.25">
      <c r="A4" s="15"/>
    </row>
    <row r="5" spans="1:8" ht="15" customHeight="1" x14ac:dyDescent="0.25">
      <c r="A5" s="15"/>
      <c r="B5" s="892" t="s">
        <v>1431</v>
      </c>
      <c r="C5" s="892"/>
      <c r="D5" s="778" t="s">
        <v>105</v>
      </c>
      <c r="E5" s="778" t="s">
        <v>104</v>
      </c>
      <c r="F5" s="778" t="s">
        <v>99</v>
      </c>
      <c r="G5" s="828" t="s">
        <v>98</v>
      </c>
      <c r="H5" s="828" t="s">
        <v>97</v>
      </c>
    </row>
    <row r="6" spans="1:8" ht="30" x14ac:dyDescent="0.25">
      <c r="A6" s="15"/>
      <c r="B6" s="893"/>
      <c r="C6" s="893"/>
      <c r="D6" s="828">
        <v>2022</v>
      </c>
      <c r="E6" s="875" t="s">
        <v>1503</v>
      </c>
      <c r="F6" s="875">
        <v>2021</v>
      </c>
      <c r="G6" s="875" t="s">
        <v>96</v>
      </c>
      <c r="H6" s="828" t="s">
        <v>95</v>
      </c>
    </row>
    <row r="7" spans="1:8" x14ac:dyDescent="0.25">
      <c r="A7" s="15"/>
      <c r="B7" s="32"/>
      <c r="C7" s="897" t="s">
        <v>94</v>
      </c>
      <c r="D7" s="898"/>
      <c r="E7" s="898"/>
      <c r="F7" s="898"/>
      <c r="G7" s="898"/>
      <c r="H7" s="899"/>
    </row>
    <row r="8" spans="1:8" x14ac:dyDescent="0.25">
      <c r="A8" s="15"/>
      <c r="B8" s="16">
        <v>1</v>
      </c>
      <c r="C8" s="30" t="s">
        <v>93</v>
      </c>
      <c r="D8" s="31">
        <f>1057075648/1000</f>
        <v>1057075.648</v>
      </c>
      <c r="E8" s="31">
        <f>1050879851/1000</f>
        <v>1050879.851</v>
      </c>
      <c r="F8" s="31">
        <f>1054985679/1000</f>
        <v>1054985.679</v>
      </c>
      <c r="G8" s="31">
        <v>1015659</v>
      </c>
      <c r="H8" s="16"/>
    </row>
    <row r="9" spans="1:8" x14ac:dyDescent="0.25">
      <c r="A9" s="15"/>
      <c r="B9" s="16">
        <v>2</v>
      </c>
      <c r="C9" s="30" t="s">
        <v>92</v>
      </c>
      <c r="D9" s="31">
        <f t="shared" ref="D9:F10" si="0">+D8</f>
        <v>1057075.648</v>
      </c>
      <c r="E9" s="31">
        <f t="shared" si="0"/>
        <v>1050879.851</v>
      </c>
      <c r="F9" s="31">
        <f t="shared" si="0"/>
        <v>1054985.679</v>
      </c>
      <c r="G9" s="31">
        <v>1015659</v>
      </c>
      <c r="H9" s="16"/>
    </row>
    <row r="10" spans="1:8" x14ac:dyDescent="0.25">
      <c r="A10" s="15"/>
      <c r="B10" s="16">
        <v>3</v>
      </c>
      <c r="C10" s="30" t="s">
        <v>91</v>
      </c>
      <c r="D10" s="31">
        <f t="shared" si="0"/>
        <v>1057075.648</v>
      </c>
      <c r="E10" s="31">
        <f t="shared" si="0"/>
        <v>1050879.851</v>
      </c>
      <c r="F10" s="31">
        <f t="shared" si="0"/>
        <v>1054985.679</v>
      </c>
      <c r="G10" s="31">
        <v>1015659</v>
      </c>
      <c r="H10" s="16"/>
    </row>
    <row r="11" spans="1:8" x14ac:dyDescent="0.25">
      <c r="A11" s="15"/>
      <c r="B11" s="22"/>
      <c r="C11" s="894" t="s">
        <v>90</v>
      </c>
      <c r="D11" s="895"/>
      <c r="E11" s="895"/>
      <c r="F11" s="895"/>
      <c r="G11" s="895"/>
      <c r="H11" s="896"/>
    </row>
    <row r="12" spans="1:8" x14ac:dyDescent="0.25">
      <c r="A12" s="15"/>
      <c r="B12" s="16">
        <v>4</v>
      </c>
      <c r="C12" s="30" t="s">
        <v>89</v>
      </c>
      <c r="D12" s="31">
        <f>4101602602/1000</f>
        <v>4101602.602</v>
      </c>
      <c r="E12" s="31">
        <f>4386468287/1000</f>
        <v>4386468.2869999995</v>
      </c>
      <c r="F12" s="31">
        <v>3920829.4339999999</v>
      </c>
      <c r="G12" s="31">
        <v>4132118</v>
      </c>
      <c r="H12" s="16"/>
    </row>
    <row r="13" spans="1:8" ht="15" customHeight="1" x14ac:dyDescent="0.25">
      <c r="A13" s="15"/>
      <c r="B13" s="22"/>
      <c r="C13" s="900" t="s">
        <v>88</v>
      </c>
      <c r="D13" s="901"/>
      <c r="E13" s="901"/>
      <c r="F13" s="901"/>
      <c r="G13" s="901"/>
      <c r="H13" s="902"/>
    </row>
    <row r="14" spans="1:8" x14ac:dyDescent="0.25">
      <c r="A14" s="15"/>
      <c r="B14" s="16">
        <v>5</v>
      </c>
      <c r="C14" s="30" t="s">
        <v>87</v>
      </c>
      <c r="D14" s="23">
        <f>+D10/D12*100</f>
        <v>25.772259055144808</v>
      </c>
      <c r="E14" s="23">
        <f>+E10/E12*100</f>
        <v>23.957311035724356</v>
      </c>
      <c r="F14" s="23">
        <f>+F10/F12*100</f>
        <v>26.907206670393506</v>
      </c>
      <c r="G14" s="23">
        <v>24.6</v>
      </c>
      <c r="H14" s="16"/>
    </row>
    <row r="15" spans="1:8" x14ac:dyDescent="0.25">
      <c r="A15" s="15"/>
      <c r="B15" s="16">
        <v>6</v>
      </c>
      <c r="C15" s="30" t="s">
        <v>86</v>
      </c>
      <c r="D15" s="23">
        <f t="shared" ref="D15:F16" si="1">+D14</f>
        <v>25.772259055144808</v>
      </c>
      <c r="E15" s="23">
        <f t="shared" si="1"/>
        <v>23.957311035724356</v>
      </c>
      <c r="F15" s="23">
        <f t="shared" si="1"/>
        <v>26.907206670393506</v>
      </c>
      <c r="G15" s="23">
        <v>24.6</v>
      </c>
      <c r="H15" s="16"/>
    </row>
    <row r="16" spans="1:8" x14ac:dyDescent="0.25">
      <c r="A16" s="15"/>
      <c r="B16" s="16">
        <v>7</v>
      </c>
      <c r="C16" s="30" t="s">
        <v>85</v>
      </c>
      <c r="D16" s="23">
        <f t="shared" si="1"/>
        <v>25.772259055144808</v>
      </c>
      <c r="E16" s="23">
        <f t="shared" si="1"/>
        <v>23.957311035724356</v>
      </c>
      <c r="F16" s="23">
        <f t="shared" si="1"/>
        <v>26.907206670393506</v>
      </c>
      <c r="G16" s="23">
        <v>24.6</v>
      </c>
      <c r="H16" s="16"/>
    </row>
    <row r="17" spans="1:8" ht="29.1" customHeight="1" x14ac:dyDescent="0.25">
      <c r="A17" s="15"/>
      <c r="B17" s="22"/>
      <c r="C17" s="903" t="s">
        <v>84</v>
      </c>
      <c r="D17" s="904"/>
      <c r="E17" s="904"/>
      <c r="F17" s="904"/>
      <c r="G17" s="904"/>
      <c r="H17" s="905"/>
    </row>
    <row r="18" spans="1:8" ht="30" x14ac:dyDescent="0.25">
      <c r="A18" s="15"/>
      <c r="B18" s="16" t="s">
        <v>83</v>
      </c>
      <c r="C18" s="9" t="s">
        <v>82</v>
      </c>
      <c r="D18" s="23">
        <v>1.01</v>
      </c>
      <c r="E18" s="23">
        <v>1.1200000000000001</v>
      </c>
      <c r="F18" s="23">
        <v>1.07</v>
      </c>
      <c r="G18" s="23">
        <v>1.69</v>
      </c>
      <c r="H18" s="16"/>
    </row>
    <row r="19" spans="1:8" x14ac:dyDescent="0.25">
      <c r="A19" s="15"/>
      <c r="B19" s="16" t="s">
        <v>81</v>
      </c>
      <c r="C19" s="9" t="s">
        <v>56</v>
      </c>
      <c r="D19" s="23">
        <v>0.34</v>
      </c>
      <c r="E19" s="23">
        <v>0.38</v>
      </c>
      <c r="F19" s="23">
        <v>0.36</v>
      </c>
      <c r="G19" s="23">
        <v>0.56000000000000005</v>
      </c>
      <c r="H19" s="16"/>
    </row>
    <row r="20" spans="1:8" x14ac:dyDescent="0.25">
      <c r="A20" s="15"/>
      <c r="B20" s="16" t="s">
        <v>80</v>
      </c>
      <c r="C20" s="9" t="s">
        <v>79</v>
      </c>
      <c r="D20" s="23">
        <v>0.45</v>
      </c>
      <c r="E20" s="23">
        <v>0.5</v>
      </c>
      <c r="F20" s="23">
        <v>0.48</v>
      </c>
      <c r="G20" s="23">
        <v>0.75</v>
      </c>
      <c r="H20" s="16"/>
    </row>
    <row r="21" spans="1:8" x14ac:dyDescent="0.25">
      <c r="A21" s="15"/>
      <c r="B21" s="16" t="s">
        <v>78</v>
      </c>
      <c r="C21" s="9" t="s">
        <v>77</v>
      </c>
      <c r="D21" s="23">
        <v>9.8000000000000007</v>
      </c>
      <c r="E21" s="23">
        <v>10</v>
      </c>
      <c r="F21" s="23">
        <v>9.9</v>
      </c>
      <c r="G21" s="23">
        <v>11</v>
      </c>
      <c r="H21" s="16"/>
    </row>
    <row r="22" spans="1:8" ht="15.75" customHeight="1" x14ac:dyDescent="0.25">
      <c r="A22" s="15"/>
      <c r="B22" s="22"/>
      <c r="C22" s="903" t="s">
        <v>76</v>
      </c>
      <c r="D22" s="904"/>
      <c r="E22" s="904"/>
      <c r="F22" s="904"/>
      <c r="G22" s="904"/>
      <c r="H22" s="905"/>
    </row>
    <row r="23" spans="1:8" x14ac:dyDescent="0.25">
      <c r="A23" s="15"/>
      <c r="B23" s="16">
        <v>8</v>
      </c>
      <c r="C23" s="30" t="s">
        <v>75</v>
      </c>
      <c r="D23" s="23">
        <v>2.5</v>
      </c>
      <c r="E23" s="23">
        <v>2.5</v>
      </c>
      <c r="F23" s="23">
        <v>2.5</v>
      </c>
      <c r="G23" s="23">
        <v>2.5</v>
      </c>
      <c r="H23" s="16"/>
    </row>
    <row r="24" spans="1:8" ht="30" x14ac:dyDescent="0.25">
      <c r="A24" s="15"/>
      <c r="B24" s="16" t="s">
        <v>25</v>
      </c>
      <c r="C24" s="30" t="s">
        <v>74</v>
      </c>
      <c r="D24" s="23">
        <v>0</v>
      </c>
      <c r="E24" s="23">
        <v>0</v>
      </c>
      <c r="F24" s="23">
        <v>0</v>
      </c>
      <c r="G24" s="23">
        <v>0</v>
      </c>
      <c r="H24" s="16"/>
    </row>
    <row r="25" spans="1:8" x14ac:dyDescent="0.25">
      <c r="A25" s="15"/>
      <c r="B25" s="16">
        <v>9</v>
      </c>
      <c r="C25" s="30" t="s">
        <v>73</v>
      </c>
      <c r="D25" s="23">
        <v>2</v>
      </c>
      <c r="E25" s="23">
        <v>0</v>
      </c>
      <c r="F25" s="23">
        <v>0</v>
      </c>
      <c r="G25" s="23">
        <v>0</v>
      </c>
      <c r="H25" s="16"/>
    </row>
    <row r="26" spans="1:8" x14ac:dyDescent="0.25">
      <c r="A26" s="15"/>
      <c r="B26" s="16" t="s">
        <v>72</v>
      </c>
      <c r="C26" s="30" t="s">
        <v>71</v>
      </c>
      <c r="D26" s="23">
        <v>0</v>
      </c>
      <c r="E26" s="23">
        <v>0</v>
      </c>
      <c r="F26" s="23">
        <v>0</v>
      </c>
      <c r="G26" s="23">
        <v>0</v>
      </c>
      <c r="H26" s="16"/>
    </row>
    <row r="27" spans="1:8" x14ac:dyDescent="0.25">
      <c r="A27" s="15"/>
      <c r="B27" s="16">
        <v>10</v>
      </c>
      <c r="C27" s="30" t="s">
        <v>70</v>
      </c>
      <c r="D27" s="23">
        <v>0</v>
      </c>
      <c r="E27" s="23">
        <v>0</v>
      </c>
      <c r="F27" s="23">
        <v>0</v>
      </c>
      <c r="G27" s="23">
        <v>0</v>
      </c>
      <c r="H27" s="16"/>
    </row>
    <row r="28" spans="1:8" x14ac:dyDescent="0.25">
      <c r="A28" s="15"/>
      <c r="B28" s="16" t="s">
        <v>69</v>
      </c>
      <c r="C28" s="9" t="s">
        <v>68</v>
      </c>
      <c r="D28" s="23">
        <v>0</v>
      </c>
      <c r="E28" s="23">
        <v>0</v>
      </c>
      <c r="F28" s="23">
        <v>0</v>
      </c>
      <c r="G28" s="23">
        <v>0</v>
      </c>
      <c r="H28" s="16"/>
    </row>
    <row r="29" spans="1:8" x14ac:dyDescent="0.25">
      <c r="A29" s="15"/>
      <c r="B29" s="16">
        <v>11</v>
      </c>
      <c r="C29" s="30" t="s">
        <v>67</v>
      </c>
      <c r="D29" s="23">
        <v>4.5</v>
      </c>
      <c r="E29" s="23">
        <v>2.5</v>
      </c>
      <c r="F29" s="23">
        <v>2.5</v>
      </c>
      <c r="G29" s="23">
        <v>2.5</v>
      </c>
      <c r="H29" s="16"/>
    </row>
    <row r="30" spans="1:8" x14ac:dyDescent="0.25">
      <c r="A30" s="15"/>
      <c r="B30" s="16" t="s">
        <v>66</v>
      </c>
      <c r="C30" s="30" t="s">
        <v>65</v>
      </c>
      <c r="D30" s="23">
        <f>+D21+D29</f>
        <v>14.3</v>
      </c>
      <c r="E30" s="23">
        <f t="shared" ref="E30:G30" si="2">+E21+E29</f>
        <v>12.5</v>
      </c>
      <c r="F30" s="23">
        <f t="shared" si="2"/>
        <v>12.4</v>
      </c>
      <c r="G30" s="23">
        <f t="shared" si="2"/>
        <v>13.5</v>
      </c>
      <c r="H30" s="16"/>
    </row>
    <row r="31" spans="1:8" ht="14.45" customHeight="1" x14ac:dyDescent="0.25">
      <c r="A31" s="15"/>
      <c r="B31" s="16">
        <v>12</v>
      </c>
      <c r="C31" s="30" t="s">
        <v>64</v>
      </c>
      <c r="D31" s="23">
        <f>+D16-D21</f>
        <v>15.972259055144807</v>
      </c>
      <c r="E31" s="23">
        <f>+E16-E21</f>
        <v>13.957311035724356</v>
      </c>
      <c r="F31" s="23">
        <f>+F16-F21</f>
        <v>17.007206670393508</v>
      </c>
      <c r="G31" s="23">
        <f>+G16-G21</f>
        <v>13.600000000000001</v>
      </c>
      <c r="H31" s="16"/>
    </row>
    <row r="32" spans="1:8" x14ac:dyDescent="0.25">
      <c r="A32" s="15"/>
      <c r="B32" s="22"/>
      <c r="C32" s="894" t="s">
        <v>63</v>
      </c>
      <c r="D32" s="895"/>
      <c r="E32" s="895"/>
      <c r="F32" s="895"/>
      <c r="G32" s="895"/>
      <c r="H32" s="896"/>
    </row>
    <row r="33" spans="1:8" x14ac:dyDescent="0.25">
      <c r="A33" s="15"/>
      <c r="B33" s="16">
        <v>13</v>
      </c>
      <c r="C33" s="19" t="s">
        <v>62</v>
      </c>
      <c r="D33" s="24">
        <v>9971412</v>
      </c>
      <c r="E33" s="24">
        <v>9909327</v>
      </c>
      <c r="F33" s="24">
        <v>9799062</v>
      </c>
      <c r="G33" s="24">
        <v>8351238</v>
      </c>
      <c r="H33" s="16"/>
    </row>
    <row r="34" spans="1:8" x14ac:dyDescent="0.25">
      <c r="A34" s="15"/>
      <c r="B34" s="13">
        <v>14</v>
      </c>
      <c r="C34" s="25" t="s">
        <v>61</v>
      </c>
      <c r="D34" s="23">
        <v>10.6</v>
      </c>
      <c r="E34" s="23">
        <v>10.61</v>
      </c>
      <c r="F34" s="23">
        <v>10.77</v>
      </c>
      <c r="G34" s="23">
        <v>10.23</v>
      </c>
      <c r="H34" s="16"/>
    </row>
    <row r="35" spans="1:8" ht="15" customHeight="1" x14ac:dyDescent="0.25">
      <c r="B35" s="22"/>
      <c r="C35" s="903" t="s">
        <v>60</v>
      </c>
      <c r="D35" s="904"/>
      <c r="E35" s="904"/>
      <c r="F35" s="904"/>
      <c r="G35" s="904"/>
      <c r="H35" s="905"/>
    </row>
    <row r="36" spans="1:8" s="26" customFormat="1" ht="30" x14ac:dyDescent="0.25">
      <c r="B36" s="13" t="s">
        <v>59</v>
      </c>
      <c r="C36" s="9" t="s">
        <v>58</v>
      </c>
      <c r="D36" s="28">
        <v>0</v>
      </c>
      <c r="E36" s="28">
        <v>0</v>
      </c>
      <c r="F36" s="28">
        <v>0</v>
      </c>
      <c r="G36" s="28">
        <v>0</v>
      </c>
      <c r="H36" s="27"/>
    </row>
    <row r="37" spans="1:8" s="26" customFormat="1" x14ac:dyDescent="0.25">
      <c r="B37" s="13" t="s">
        <v>57</v>
      </c>
      <c r="C37" s="9" t="s">
        <v>56</v>
      </c>
      <c r="D37" s="28">
        <v>0</v>
      </c>
      <c r="E37" s="28">
        <v>0</v>
      </c>
      <c r="F37" s="28">
        <v>0</v>
      </c>
      <c r="G37" s="28">
        <v>0</v>
      </c>
      <c r="H37" s="27"/>
    </row>
    <row r="38" spans="1:8" s="26" customFormat="1" x14ac:dyDescent="0.25">
      <c r="B38" s="13" t="s">
        <v>55</v>
      </c>
      <c r="C38" s="9" t="s">
        <v>54</v>
      </c>
      <c r="D38" s="28">
        <v>3</v>
      </c>
      <c r="E38" s="28">
        <v>3</v>
      </c>
      <c r="F38" s="28">
        <v>3</v>
      </c>
      <c r="G38" s="28">
        <v>3</v>
      </c>
      <c r="H38" s="27"/>
    </row>
    <row r="39" spans="1:8" s="26" customFormat="1" ht="15" customHeight="1" x14ac:dyDescent="0.25">
      <c r="B39" s="22"/>
      <c r="C39" s="903" t="s">
        <v>53</v>
      </c>
      <c r="D39" s="904"/>
      <c r="E39" s="904"/>
      <c r="F39" s="904"/>
      <c r="G39" s="904"/>
      <c r="H39" s="905"/>
    </row>
    <row r="40" spans="1:8" s="26" customFormat="1" x14ac:dyDescent="0.25">
      <c r="B40" s="13" t="s">
        <v>52</v>
      </c>
      <c r="C40" s="29" t="s">
        <v>51</v>
      </c>
      <c r="D40" s="28">
        <v>0</v>
      </c>
      <c r="E40" s="28">
        <v>0</v>
      </c>
      <c r="F40" s="28">
        <v>0</v>
      </c>
      <c r="G40" s="28">
        <v>0</v>
      </c>
      <c r="H40" s="27"/>
    </row>
    <row r="41" spans="1:8" s="26" customFormat="1" x14ac:dyDescent="0.25">
      <c r="B41" s="13" t="s">
        <v>50</v>
      </c>
      <c r="C41" s="29" t="s">
        <v>49</v>
      </c>
      <c r="D41" s="28">
        <v>3</v>
      </c>
      <c r="E41" s="28">
        <v>3</v>
      </c>
      <c r="F41" s="28">
        <v>3</v>
      </c>
      <c r="G41" s="28">
        <v>3</v>
      </c>
      <c r="H41" s="27"/>
    </row>
    <row r="42" spans="1:8" x14ac:dyDescent="0.25">
      <c r="A42" s="15"/>
      <c r="B42" s="22"/>
      <c r="C42" s="894" t="s">
        <v>48</v>
      </c>
      <c r="D42" s="895"/>
      <c r="E42" s="895"/>
      <c r="F42" s="895"/>
      <c r="G42" s="895"/>
      <c r="H42" s="896"/>
    </row>
    <row r="43" spans="1:8" ht="30" x14ac:dyDescent="0.25">
      <c r="A43" s="15"/>
      <c r="B43" s="16">
        <v>15</v>
      </c>
      <c r="C43" s="19" t="s">
        <v>47</v>
      </c>
      <c r="D43" s="24">
        <v>4753</v>
      </c>
      <c r="E43" s="24">
        <v>3265</v>
      </c>
      <c r="F43" s="24">
        <v>3930</v>
      </c>
      <c r="G43" s="24">
        <v>4157</v>
      </c>
      <c r="H43" s="16"/>
    </row>
    <row r="44" spans="1:8" x14ac:dyDescent="0.25">
      <c r="A44" s="15"/>
      <c r="B44" s="13" t="s">
        <v>46</v>
      </c>
      <c r="C44" s="25" t="s">
        <v>45</v>
      </c>
      <c r="D44" s="24">
        <v>1302629</v>
      </c>
      <c r="E44" s="24">
        <v>1262046</v>
      </c>
      <c r="F44" s="24">
        <v>1240815</v>
      </c>
      <c r="G44" s="24">
        <v>1361285</v>
      </c>
      <c r="H44" s="16"/>
    </row>
    <row r="45" spans="1:8" x14ac:dyDescent="0.25">
      <c r="A45" s="15"/>
      <c r="B45" s="13" t="s">
        <v>44</v>
      </c>
      <c r="C45" s="25" t="s">
        <v>43</v>
      </c>
      <c r="D45" s="24">
        <v>144229</v>
      </c>
      <c r="E45" s="24">
        <v>222289</v>
      </c>
      <c r="F45" s="24">
        <v>190127</v>
      </c>
      <c r="G45" s="24">
        <v>200823</v>
      </c>
      <c r="H45" s="16"/>
    </row>
    <row r="46" spans="1:8" x14ac:dyDescent="0.25">
      <c r="A46" s="15"/>
      <c r="B46" s="16">
        <v>16</v>
      </c>
      <c r="C46" s="19" t="s">
        <v>42</v>
      </c>
      <c r="D46" s="24">
        <f>+D44-D45</f>
        <v>1158400</v>
      </c>
      <c r="E46" s="24">
        <f>+E44-E45</f>
        <v>1039757</v>
      </c>
      <c r="F46" s="24">
        <f>+F44-F45</f>
        <v>1050688</v>
      </c>
      <c r="G46" s="24">
        <f>+G44-G45</f>
        <v>1160462</v>
      </c>
      <c r="H46" s="16"/>
    </row>
    <row r="47" spans="1:8" x14ac:dyDescent="0.25">
      <c r="A47" s="15"/>
      <c r="B47" s="16">
        <v>17</v>
      </c>
      <c r="C47" s="19" t="s">
        <v>41</v>
      </c>
      <c r="D47" s="23">
        <v>287.81</v>
      </c>
      <c r="E47" s="23">
        <v>287.81</v>
      </c>
      <c r="F47" s="23">
        <v>295.38</v>
      </c>
      <c r="G47" s="23">
        <v>340.27</v>
      </c>
      <c r="H47" s="16"/>
    </row>
    <row r="48" spans="1:8" x14ac:dyDescent="0.25">
      <c r="A48" s="15"/>
      <c r="B48" s="22"/>
      <c r="C48" s="894" t="s">
        <v>40</v>
      </c>
      <c r="D48" s="895"/>
      <c r="E48" s="895"/>
      <c r="F48" s="895"/>
      <c r="G48" s="895"/>
      <c r="H48" s="896"/>
    </row>
    <row r="49" spans="1:8" x14ac:dyDescent="0.25">
      <c r="A49" s="15"/>
      <c r="B49" s="16">
        <v>18</v>
      </c>
      <c r="C49" s="19" t="s">
        <v>39</v>
      </c>
      <c r="D49" s="20">
        <v>7397729</v>
      </c>
      <c r="E49" s="20">
        <v>7196441</v>
      </c>
      <c r="F49" s="20">
        <v>6898904</v>
      </c>
      <c r="G49" s="20">
        <v>6655670</v>
      </c>
      <c r="H49" s="16"/>
    </row>
    <row r="50" spans="1:8" x14ac:dyDescent="0.25">
      <c r="A50" s="15"/>
      <c r="B50" s="16">
        <v>19</v>
      </c>
      <c r="C50" s="21" t="s">
        <v>38</v>
      </c>
      <c r="D50" s="20">
        <v>4211634</v>
      </c>
      <c r="E50" s="20">
        <v>4551012</v>
      </c>
      <c r="F50" s="20">
        <v>3847561</v>
      </c>
      <c r="G50" s="20">
        <v>3705566</v>
      </c>
      <c r="H50" s="16"/>
    </row>
    <row r="51" spans="1:8" x14ac:dyDescent="0.25">
      <c r="A51" s="15"/>
      <c r="B51" s="16">
        <v>20</v>
      </c>
      <c r="C51" s="19" t="s">
        <v>37</v>
      </c>
      <c r="D51" s="18">
        <f>+D49/D50*100</f>
        <v>175.64985466448414</v>
      </c>
      <c r="E51" s="18">
        <f>+E49/E50*100</f>
        <v>158.12836793223133</v>
      </c>
      <c r="F51" s="18">
        <f>+F49/F50*100</f>
        <v>179.30590314227638</v>
      </c>
      <c r="G51" s="17">
        <v>179.61</v>
      </c>
      <c r="H51" s="16"/>
    </row>
    <row r="52" spans="1:8" x14ac:dyDescent="0.25">
      <c r="A52" s="15"/>
    </row>
    <row r="53" spans="1:8" x14ac:dyDescent="0.25">
      <c r="A53" s="15"/>
    </row>
    <row r="54" spans="1:8" x14ac:dyDescent="0.25">
      <c r="A54" s="15"/>
    </row>
    <row r="55" spans="1:8" x14ac:dyDescent="0.25">
      <c r="A55" s="15"/>
    </row>
    <row r="56" spans="1:8" x14ac:dyDescent="0.25">
      <c r="A56" s="15"/>
    </row>
    <row r="57" spans="1:8" x14ac:dyDescent="0.25">
      <c r="A57" s="15"/>
    </row>
    <row r="58" spans="1:8" x14ac:dyDescent="0.25">
      <c r="A58" s="15"/>
    </row>
    <row r="59" spans="1:8" x14ac:dyDescent="0.25">
      <c r="A59" s="15"/>
    </row>
    <row r="60" spans="1:8" x14ac:dyDescent="0.25">
      <c r="A60" s="15"/>
    </row>
    <row r="61" spans="1:8" x14ac:dyDescent="0.25">
      <c r="A61" s="15"/>
    </row>
    <row r="62" spans="1:8" x14ac:dyDescent="0.25">
      <c r="A62" s="15"/>
    </row>
    <row r="63" spans="1:8" x14ac:dyDescent="0.25">
      <c r="A63" s="15"/>
    </row>
    <row r="64" spans="1:8" x14ac:dyDescent="0.25">
      <c r="A64" s="15"/>
    </row>
    <row r="65" spans="1:1" x14ac:dyDescent="0.25">
      <c r="A65" s="15"/>
    </row>
    <row r="66" spans="1:1" x14ac:dyDescent="0.25">
      <c r="A66" s="15"/>
    </row>
    <row r="67" spans="1:1" x14ac:dyDescent="0.25">
      <c r="A67" s="15"/>
    </row>
    <row r="68" spans="1:1" x14ac:dyDescent="0.25">
      <c r="A68" s="15"/>
    </row>
    <row r="69" spans="1:1" x14ac:dyDescent="0.25">
      <c r="A69" s="15"/>
    </row>
    <row r="70" spans="1:1" x14ac:dyDescent="0.25">
      <c r="A70" s="15"/>
    </row>
    <row r="71" spans="1:1" x14ac:dyDescent="0.25">
      <c r="A71" s="15"/>
    </row>
    <row r="72" spans="1:1" x14ac:dyDescent="0.25">
      <c r="A72" s="15"/>
    </row>
    <row r="73" spans="1:1" x14ac:dyDescent="0.25">
      <c r="A73" s="15"/>
    </row>
    <row r="74" spans="1:1" x14ac:dyDescent="0.25">
      <c r="A74" s="15"/>
    </row>
    <row r="75" spans="1:1" x14ac:dyDescent="0.25">
      <c r="A75" s="15"/>
    </row>
    <row r="76" spans="1:1" x14ac:dyDescent="0.25">
      <c r="A76" s="15"/>
    </row>
    <row r="77" spans="1:1" x14ac:dyDescent="0.25">
      <c r="A77" s="15"/>
    </row>
    <row r="78" spans="1:1" x14ac:dyDescent="0.25">
      <c r="A78" s="15"/>
    </row>
    <row r="79" spans="1:1" x14ac:dyDescent="0.25">
      <c r="A79" s="15"/>
    </row>
    <row r="80" spans="1:1" x14ac:dyDescent="0.25">
      <c r="A80" s="15"/>
    </row>
    <row r="81" spans="1:1" x14ac:dyDescent="0.25">
      <c r="A81" s="15"/>
    </row>
    <row r="82" spans="1:1" x14ac:dyDescent="0.25">
      <c r="A82" s="15"/>
    </row>
    <row r="83" spans="1:1" x14ac:dyDescent="0.25">
      <c r="A83" s="15"/>
    </row>
    <row r="84" spans="1:1" x14ac:dyDescent="0.25">
      <c r="A84" s="15"/>
    </row>
    <row r="85" spans="1:1" x14ac:dyDescent="0.25">
      <c r="A85" s="15"/>
    </row>
    <row r="86" spans="1:1" x14ac:dyDescent="0.25">
      <c r="A86" s="15"/>
    </row>
    <row r="87" spans="1:1" x14ac:dyDescent="0.25">
      <c r="A87" s="15"/>
    </row>
    <row r="88" spans="1:1" x14ac:dyDescent="0.25">
      <c r="A88" s="15"/>
    </row>
    <row r="89" spans="1:1" x14ac:dyDescent="0.25">
      <c r="A89" s="15"/>
    </row>
    <row r="90" spans="1:1" x14ac:dyDescent="0.25">
      <c r="A90" s="15"/>
    </row>
    <row r="91" spans="1:1" x14ac:dyDescent="0.25">
      <c r="A91" s="15"/>
    </row>
    <row r="92" spans="1:1" x14ac:dyDescent="0.25">
      <c r="A92" s="15"/>
    </row>
    <row r="93" spans="1:1" x14ac:dyDescent="0.25">
      <c r="A93" s="15"/>
    </row>
    <row r="94" spans="1:1" x14ac:dyDescent="0.25">
      <c r="A94" s="15"/>
    </row>
    <row r="95" spans="1:1" x14ac:dyDescent="0.25">
      <c r="A95" s="15"/>
    </row>
    <row r="96" spans="1:1" x14ac:dyDescent="0.25">
      <c r="A96" s="15"/>
    </row>
    <row r="97" spans="1:10" x14ac:dyDescent="0.25">
      <c r="A97" s="15"/>
    </row>
    <row r="98" spans="1:10" x14ac:dyDescent="0.25">
      <c r="A98" s="15"/>
    </row>
    <row r="99" spans="1:10" x14ac:dyDescent="0.25">
      <c r="A99" s="15"/>
    </row>
    <row r="100" spans="1:10" x14ac:dyDescent="0.25">
      <c r="A100" s="15"/>
    </row>
    <row r="101" spans="1:10" x14ac:dyDescent="0.25">
      <c r="A101" s="15"/>
    </row>
    <row r="102" spans="1:10" x14ac:dyDescent="0.25">
      <c r="A102" s="15"/>
    </row>
    <row r="103" spans="1:10" x14ac:dyDescent="0.25">
      <c r="A103" s="15"/>
    </row>
    <row r="104" spans="1:10" x14ac:dyDescent="0.25">
      <c r="A104" s="15"/>
    </row>
    <row r="105" spans="1:10" x14ac:dyDescent="0.25">
      <c r="A105" s="15"/>
      <c r="B105" s="15"/>
      <c r="C105" s="15"/>
      <c r="D105" s="15"/>
      <c r="E105" s="15"/>
      <c r="F105" s="15"/>
      <c r="G105" s="15"/>
      <c r="H105" s="15"/>
      <c r="I105" s="15"/>
      <c r="J105" s="15"/>
    </row>
    <row r="106" spans="1:10" x14ac:dyDescent="0.25">
      <c r="A106" s="15"/>
      <c r="B106" s="15"/>
      <c r="C106" s="15"/>
      <c r="D106" s="15"/>
      <c r="E106" s="15"/>
      <c r="F106" s="15"/>
      <c r="G106" s="15"/>
      <c r="H106" s="15"/>
      <c r="I106" s="15"/>
      <c r="J106" s="15"/>
    </row>
    <row r="107" spans="1:10" x14ac:dyDescent="0.25">
      <c r="A107" s="15"/>
      <c r="B107" s="15"/>
      <c r="C107" s="15"/>
      <c r="D107" s="15"/>
      <c r="E107" s="15"/>
      <c r="F107" s="15"/>
      <c r="G107" s="15"/>
      <c r="H107" s="15"/>
      <c r="I107" s="15"/>
      <c r="J107" s="15"/>
    </row>
    <row r="108" spans="1:10" x14ac:dyDescent="0.25">
      <c r="A108" s="15"/>
      <c r="B108" s="15"/>
      <c r="C108" s="15"/>
      <c r="D108" s="15"/>
      <c r="E108" s="15"/>
      <c r="F108" s="15"/>
      <c r="G108" s="15"/>
      <c r="H108" s="15"/>
      <c r="I108" s="15"/>
      <c r="J108" s="15"/>
    </row>
    <row r="109" spans="1:10" x14ac:dyDescent="0.25">
      <c r="A109" s="15"/>
      <c r="B109" s="15"/>
      <c r="C109" s="15"/>
      <c r="D109" s="15"/>
      <c r="E109" s="15"/>
      <c r="F109" s="15"/>
      <c r="G109" s="15"/>
      <c r="H109" s="15"/>
      <c r="I109" s="15"/>
      <c r="J109" s="15"/>
    </row>
    <row r="110" spans="1:10" x14ac:dyDescent="0.25">
      <c r="A110" s="15"/>
      <c r="B110" s="15"/>
      <c r="C110" s="15"/>
      <c r="D110" s="15"/>
      <c r="E110" s="15"/>
      <c r="F110" s="15"/>
      <c r="G110" s="15"/>
      <c r="H110" s="15"/>
      <c r="I110" s="15"/>
      <c r="J110" s="15"/>
    </row>
    <row r="111" spans="1:10" x14ac:dyDescent="0.25">
      <c r="A111" s="15"/>
      <c r="B111" s="15"/>
      <c r="C111" s="15"/>
      <c r="D111" s="15"/>
      <c r="E111" s="15"/>
      <c r="F111" s="15"/>
      <c r="G111" s="15"/>
      <c r="H111" s="15"/>
      <c r="I111" s="15"/>
      <c r="J111" s="15"/>
    </row>
    <row r="112" spans="1:10" x14ac:dyDescent="0.25">
      <c r="A112" s="15"/>
      <c r="B112" s="15"/>
      <c r="C112" s="15"/>
      <c r="D112" s="15"/>
      <c r="E112" s="15"/>
      <c r="F112" s="15"/>
      <c r="G112" s="15"/>
      <c r="H112" s="15"/>
      <c r="I112" s="15"/>
      <c r="J112" s="15"/>
    </row>
    <row r="113" spans="1:10" x14ac:dyDescent="0.25">
      <c r="A113" s="15"/>
      <c r="B113" s="15"/>
      <c r="C113" s="15"/>
      <c r="D113" s="15"/>
      <c r="E113" s="15"/>
      <c r="F113" s="15"/>
      <c r="G113" s="15"/>
      <c r="H113" s="15"/>
      <c r="I113" s="15"/>
      <c r="J113" s="15"/>
    </row>
    <row r="114" spans="1:10" x14ac:dyDescent="0.25">
      <c r="A114" s="15"/>
      <c r="B114" s="15"/>
      <c r="C114" s="15"/>
      <c r="D114" s="15"/>
      <c r="E114" s="15"/>
      <c r="F114" s="15"/>
      <c r="G114" s="15"/>
      <c r="H114" s="15"/>
      <c r="I114" s="15"/>
      <c r="J114" s="15"/>
    </row>
    <row r="115" spans="1:10" x14ac:dyDescent="0.25">
      <c r="A115" s="15"/>
      <c r="B115" s="15"/>
      <c r="C115" s="15"/>
      <c r="D115" s="15"/>
      <c r="E115" s="15"/>
      <c r="F115" s="15"/>
      <c r="G115" s="15"/>
      <c r="H115" s="15"/>
      <c r="I115" s="15"/>
      <c r="J115" s="15"/>
    </row>
    <row r="116" spans="1:10" x14ac:dyDescent="0.25">
      <c r="A116" s="15"/>
      <c r="B116" s="15"/>
      <c r="C116" s="15"/>
      <c r="D116" s="15"/>
      <c r="E116" s="15"/>
      <c r="F116" s="15"/>
      <c r="G116" s="15"/>
      <c r="H116" s="15"/>
      <c r="I116" s="15"/>
      <c r="J116" s="15"/>
    </row>
    <row r="117" spans="1:10" x14ac:dyDescent="0.25">
      <c r="A117" s="15"/>
      <c r="B117" s="15"/>
      <c r="C117" s="15"/>
      <c r="D117" s="15"/>
      <c r="E117" s="15"/>
      <c r="F117" s="15"/>
      <c r="G117" s="15"/>
      <c r="H117" s="15"/>
      <c r="I117" s="15"/>
      <c r="J117" s="15"/>
    </row>
    <row r="118" spans="1:10" x14ac:dyDescent="0.25">
      <c r="A118" s="15"/>
      <c r="B118" s="15"/>
      <c r="C118" s="15"/>
      <c r="D118" s="15"/>
      <c r="E118" s="15"/>
      <c r="F118" s="15"/>
      <c r="G118" s="15"/>
      <c r="H118" s="15"/>
      <c r="I118" s="15"/>
      <c r="J118" s="15"/>
    </row>
    <row r="119" spans="1:10" x14ac:dyDescent="0.25">
      <c r="A119" s="15"/>
      <c r="B119" s="15"/>
      <c r="C119" s="15"/>
      <c r="D119" s="15"/>
      <c r="E119" s="15"/>
      <c r="F119" s="15"/>
      <c r="G119" s="15"/>
      <c r="H119" s="15"/>
      <c r="I119" s="15"/>
      <c r="J119" s="15"/>
    </row>
    <row r="120" spans="1:10" x14ac:dyDescent="0.25">
      <c r="A120" s="15"/>
      <c r="B120" s="15"/>
      <c r="C120" s="15"/>
      <c r="D120" s="15"/>
      <c r="E120" s="15"/>
      <c r="F120" s="15"/>
      <c r="G120" s="15"/>
      <c r="H120" s="15"/>
      <c r="I120" s="15"/>
      <c r="J120" s="15"/>
    </row>
    <row r="121" spans="1:10" x14ac:dyDescent="0.25">
      <c r="A121" s="15"/>
      <c r="B121" s="15"/>
      <c r="C121" s="15"/>
      <c r="D121" s="15"/>
      <c r="E121" s="15"/>
      <c r="F121" s="15"/>
      <c r="G121" s="15"/>
      <c r="H121" s="15"/>
      <c r="I121" s="15"/>
      <c r="J121" s="15"/>
    </row>
    <row r="122" spans="1:10" x14ac:dyDescent="0.25">
      <c r="A122" s="15"/>
      <c r="B122" s="15"/>
      <c r="C122" s="15"/>
      <c r="D122" s="15"/>
      <c r="E122" s="15"/>
      <c r="F122" s="15"/>
      <c r="G122" s="15"/>
      <c r="H122" s="15"/>
      <c r="I122" s="15"/>
      <c r="J122" s="15"/>
    </row>
    <row r="123" spans="1:10" x14ac:dyDescent="0.25">
      <c r="A123" s="15"/>
      <c r="B123" s="15"/>
      <c r="C123" s="15"/>
      <c r="D123" s="15"/>
      <c r="E123" s="15"/>
      <c r="F123" s="15"/>
      <c r="G123" s="15"/>
      <c r="H123" s="15"/>
      <c r="I123" s="15"/>
      <c r="J123" s="15"/>
    </row>
    <row r="124" spans="1:10" x14ac:dyDescent="0.25">
      <c r="A124" s="15"/>
      <c r="B124" s="15"/>
      <c r="C124" s="15"/>
      <c r="D124" s="15"/>
      <c r="E124" s="15"/>
      <c r="F124" s="15"/>
      <c r="G124" s="15"/>
      <c r="H124" s="15"/>
      <c r="I124" s="15"/>
      <c r="J124" s="15"/>
    </row>
    <row r="125" spans="1:10" x14ac:dyDescent="0.25">
      <c r="A125" s="15"/>
      <c r="B125" s="15"/>
      <c r="C125" s="15"/>
      <c r="D125" s="15"/>
      <c r="E125" s="15"/>
      <c r="F125" s="15"/>
      <c r="G125" s="15"/>
      <c r="H125" s="15"/>
      <c r="I125" s="15"/>
      <c r="J125" s="15"/>
    </row>
    <row r="126" spans="1:10" x14ac:dyDescent="0.25">
      <c r="A126" s="15"/>
      <c r="B126" s="15"/>
      <c r="C126" s="15"/>
      <c r="D126" s="15"/>
      <c r="E126" s="15"/>
      <c r="F126" s="15"/>
      <c r="G126" s="15"/>
      <c r="H126" s="15"/>
      <c r="I126" s="15"/>
      <c r="J126" s="15"/>
    </row>
    <row r="127" spans="1:10" x14ac:dyDescent="0.25">
      <c r="A127" s="15"/>
      <c r="B127" s="15"/>
      <c r="C127" s="15"/>
      <c r="D127" s="15"/>
      <c r="E127" s="15"/>
      <c r="F127" s="15"/>
      <c r="G127" s="15"/>
      <c r="H127" s="15"/>
      <c r="I127" s="15"/>
      <c r="J127" s="15"/>
    </row>
    <row r="128" spans="1:10" x14ac:dyDescent="0.25">
      <c r="A128" s="15"/>
      <c r="B128" s="15"/>
      <c r="C128" s="15"/>
      <c r="D128" s="15"/>
      <c r="E128" s="15"/>
      <c r="F128" s="15"/>
      <c r="G128" s="15"/>
      <c r="H128" s="15"/>
      <c r="I128" s="15"/>
      <c r="J128" s="15"/>
    </row>
    <row r="129" spans="1:10" x14ac:dyDescent="0.25">
      <c r="A129" s="15"/>
      <c r="B129" s="15"/>
      <c r="C129" s="15"/>
      <c r="D129" s="15"/>
      <c r="E129" s="15"/>
      <c r="F129" s="15"/>
      <c r="G129" s="15"/>
      <c r="H129" s="15"/>
      <c r="I129" s="15"/>
      <c r="J129" s="15"/>
    </row>
    <row r="130" spans="1:10" x14ac:dyDescent="0.25">
      <c r="A130" s="15"/>
      <c r="B130" s="15"/>
      <c r="C130" s="15"/>
      <c r="D130" s="15"/>
      <c r="E130" s="15"/>
      <c r="F130" s="15"/>
      <c r="G130" s="15"/>
      <c r="H130" s="15"/>
      <c r="I130" s="15"/>
      <c r="J130" s="15"/>
    </row>
    <row r="131" spans="1:10" x14ac:dyDescent="0.25">
      <c r="A131" s="15"/>
      <c r="B131" s="15"/>
      <c r="C131" s="15"/>
      <c r="D131" s="15"/>
      <c r="E131" s="15"/>
      <c r="F131" s="15"/>
      <c r="G131" s="15"/>
      <c r="H131" s="15"/>
      <c r="I131" s="15"/>
      <c r="J131" s="15"/>
    </row>
    <row r="132" spans="1:10" x14ac:dyDescent="0.25">
      <c r="A132" s="15"/>
      <c r="B132" s="15"/>
      <c r="C132" s="15"/>
      <c r="D132" s="15"/>
      <c r="E132" s="15"/>
      <c r="F132" s="15"/>
      <c r="G132" s="15"/>
      <c r="H132" s="15"/>
      <c r="I132" s="15"/>
      <c r="J132" s="15"/>
    </row>
    <row r="133" spans="1:10" x14ac:dyDescent="0.25">
      <c r="A133" s="15"/>
      <c r="B133" s="15"/>
      <c r="C133" s="15"/>
      <c r="D133" s="15"/>
      <c r="E133" s="15"/>
      <c r="F133" s="15"/>
      <c r="G133" s="15"/>
      <c r="H133" s="15"/>
      <c r="I133" s="15"/>
      <c r="J133" s="15"/>
    </row>
    <row r="134" spans="1:10" x14ac:dyDescent="0.25">
      <c r="A134" s="15"/>
      <c r="B134" s="15"/>
      <c r="C134" s="15"/>
      <c r="D134" s="15"/>
      <c r="E134" s="15"/>
      <c r="F134" s="15"/>
      <c r="G134" s="15"/>
      <c r="H134" s="15"/>
      <c r="I134" s="15"/>
      <c r="J134" s="15"/>
    </row>
  </sheetData>
  <mergeCells count="11">
    <mergeCell ref="B5:C6"/>
    <mergeCell ref="C32:H32"/>
    <mergeCell ref="C42:H42"/>
    <mergeCell ref="C48:H48"/>
    <mergeCell ref="C7:H7"/>
    <mergeCell ref="C11:H11"/>
    <mergeCell ref="C13:H13"/>
    <mergeCell ref="C17:H17"/>
    <mergeCell ref="C22:H22"/>
    <mergeCell ref="C35:H35"/>
    <mergeCell ref="C39:H39"/>
  </mergeCells>
  <hyperlinks>
    <hyperlink ref="B2" location="Indhold!B5" display="Skema EU KM1 – Skema om væsentlige målekriterier" xr:uid="{848DC142-25DF-434C-BD8E-C435C0119BAA}"/>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B8D9-E7C8-464B-839B-A5F710E8B492}">
  <sheetPr>
    <tabColor rgb="FFFF0000"/>
    <pageSetUpPr fitToPage="1"/>
  </sheetPr>
  <dimension ref="A2:M19"/>
  <sheetViews>
    <sheetView showGridLines="0" zoomScaleNormal="100" workbookViewId="0">
      <selection activeCell="B2" sqref="B2"/>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x14ac:dyDescent="0.25">
      <c r="B2" s="878" t="s">
        <v>181</v>
      </c>
    </row>
    <row r="3" spans="1:13" x14ac:dyDescent="0.25">
      <c r="B3" s="68" t="s">
        <v>182</v>
      </c>
    </row>
    <row r="4" spans="1:13" x14ac:dyDescent="0.25">
      <c r="A4" s="69"/>
    </row>
    <row r="5" spans="1:13" x14ac:dyDescent="0.25">
      <c r="A5" s="70"/>
      <c r="B5" s="71"/>
      <c r="C5" s="72" t="s">
        <v>105</v>
      </c>
      <c r="D5" s="72" t="s">
        <v>104</v>
      </c>
      <c r="E5" s="72" t="s">
        <v>99</v>
      </c>
      <c r="F5" s="72" t="s">
        <v>98</v>
      </c>
      <c r="G5" s="72" t="s">
        <v>97</v>
      </c>
      <c r="H5" s="73" t="s">
        <v>183</v>
      </c>
      <c r="I5" s="73" t="s">
        <v>184</v>
      </c>
      <c r="J5" s="72" t="s">
        <v>113</v>
      </c>
      <c r="K5" s="72" t="s">
        <v>114</v>
      </c>
      <c r="L5" s="72" t="s">
        <v>169</v>
      </c>
      <c r="M5" s="15"/>
    </row>
    <row r="6" spans="1:13" ht="42.2" customHeight="1" x14ac:dyDescent="0.25">
      <c r="A6" s="70"/>
      <c r="B6" s="71"/>
      <c r="C6" s="1160" t="s">
        <v>185</v>
      </c>
      <c r="D6" s="1161"/>
      <c r="E6" s="1161"/>
      <c r="F6" s="1161"/>
      <c r="G6" s="1162"/>
      <c r="H6" s="1163" t="s">
        <v>1253</v>
      </c>
      <c r="I6" s="1164"/>
      <c r="J6" s="1165" t="s">
        <v>1254</v>
      </c>
      <c r="K6" s="74"/>
      <c r="L6" s="75"/>
      <c r="M6" s="15"/>
    </row>
    <row r="7" spans="1:13" ht="67.5" x14ac:dyDescent="0.25">
      <c r="A7" s="70"/>
      <c r="B7" s="76" t="s">
        <v>186</v>
      </c>
      <c r="C7" s="72" t="s">
        <v>187</v>
      </c>
      <c r="D7" s="72" t="s">
        <v>188</v>
      </c>
      <c r="E7" s="72" t="s">
        <v>189</v>
      </c>
      <c r="F7" s="72" t="s">
        <v>190</v>
      </c>
      <c r="G7" s="72" t="s">
        <v>191</v>
      </c>
      <c r="H7" s="73" t="s">
        <v>192</v>
      </c>
      <c r="I7" s="73" t="s">
        <v>1255</v>
      </c>
      <c r="J7" s="1166"/>
      <c r="K7" s="73" t="s">
        <v>1256</v>
      </c>
      <c r="L7" s="73" t="s">
        <v>1257</v>
      </c>
      <c r="M7" s="15"/>
    </row>
    <row r="8" spans="1:13" ht="26.25" customHeight="1" x14ac:dyDescent="0.25">
      <c r="A8" s="72">
        <v>1</v>
      </c>
      <c r="B8" s="76" t="s">
        <v>193</v>
      </c>
      <c r="C8" s="77">
        <v>0</v>
      </c>
      <c r="D8" s="77">
        <v>0</v>
      </c>
      <c r="E8" s="77">
        <v>0</v>
      </c>
      <c r="F8" s="77">
        <v>0</v>
      </c>
      <c r="G8" s="77">
        <v>0</v>
      </c>
      <c r="H8" s="77">
        <v>0</v>
      </c>
      <c r="I8" s="77">
        <v>0</v>
      </c>
      <c r="J8" s="77">
        <v>0</v>
      </c>
      <c r="K8" s="77">
        <v>0</v>
      </c>
      <c r="L8" s="77">
        <v>0</v>
      </c>
      <c r="M8" s="15"/>
    </row>
    <row r="9" spans="1:13" ht="26.25" customHeight="1" x14ac:dyDescent="0.25">
      <c r="A9" s="78">
        <v>2</v>
      </c>
      <c r="B9" s="79" t="s">
        <v>1</v>
      </c>
      <c r="C9" s="80"/>
      <c r="D9" s="80"/>
      <c r="E9" s="80"/>
      <c r="F9" s="80"/>
      <c r="G9" s="80"/>
      <c r="H9" s="77">
        <v>0</v>
      </c>
      <c r="I9" s="77">
        <v>0</v>
      </c>
      <c r="J9" s="81"/>
      <c r="K9" s="80"/>
      <c r="L9" s="80"/>
      <c r="M9" s="15"/>
    </row>
    <row r="10" spans="1:13" ht="22.5" x14ac:dyDescent="0.25">
      <c r="A10" s="72">
        <v>3</v>
      </c>
      <c r="B10" s="82" t="s">
        <v>194</v>
      </c>
      <c r="C10" s="77">
        <v>0</v>
      </c>
      <c r="D10" s="77">
        <v>0</v>
      </c>
      <c r="E10" s="77">
        <v>0</v>
      </c>
      <c r="F10" s="77">
        <v>0</v>
      </c>
      <c r="G10" s="77">
        <v>0</v>
      </c>
      <c r="H10" s="77">
        <v>0</v>
      </c>
      <c r="I10" s="77">
        <v>0</v>
      </c>
      <c r="J10" s="77">
        <v>0</v>
      </c>
      <c r="K10" s="77">
        <v>0</v>
      </c>
      <c r="L10" s="77">
        <v>0</v>
      </c>
      <c r="M10" s="15"/>
    </row>
    <row r="11" spans="1:13" x14ac:dyDescent="0.25">
      <c r="A11" s="72">
        <v>4</v>
      </c>
      <c r="B11" s="82" t="s">
        <v>195</v>
      </c>
      <c r="C11" s="77">
        <v>0</v>
      </c>
      <c r="D11" s="77">
        <v>0</v>
      </c>
      <c r="E11" s="77">
        <v>0</v>
      </c>
      <c r="F11" s="77">
        <v>0</v>
      </c>
      <c r="G11" s="77">
        <v>0</v>
      </c>
      <c r="H11" s="77">
        <v>0</v>
      </c>
      <c r="I11" s="77">
        <v>0</v>
      </c>
      <c r="J11" s="77">
        <v>0</v>
      </c>
      <c r="K11" s="77">
        <v>0</v>
      </c>
      <c r="L11" s="77">
        <v>0</v>
      </c>
      <c r="M11" s="15"/>
    </row>
    <row r="12" spans="1:13" x14ac:dyDescent="0.25">
      <c r="A12" s="72">
        <v>5</v>
      </c>
      <c r="B12" s="82" t="s">
        <v>196</v>
      </c>
      <c r="C12" s="77">
        <v>0</v>
      </c>
      <c r="D12" s="77">
        <v>0</v>
      </c>
      <c r="E12" s="77">
        <v>0</v>
      </c>
      <c r="F12" s="77">
        <v>0</v>
      </c>
      <c r="G12" s="77">
        <v>0</v>
      </c>
      <c r="H12" s="77">
        <v>0</v>
      </c>
      <c r="I12" s="77">
        <v>0</v>
      </c>
      <c r="J12" s="77">
        <v>0</v>
      </c>
      <c r="K12" s="77">
        <v>0</v>
      </c>
      <c r="L12" s="77">
        <v>0</v>
      </c>
      <c r="M12" s="15"/>
    </row>
    <row r="13" spans="1:13" x14ac:dyDescent="0.25">
      <c r="A13" s="72">
        <v>6</v>
      </c>
      <c r="B13" s="82" t="s">
        <v>197</v>
      </c>
      <c r="C13" s="77">
        <v>0</v>
      </c>
      <c r="D13" s="77">
        <v>0</v>
      </c>
      <c r="E13" s="77">
        <v>0</v>
      </c>
      <c r="F13" s="77">
        <v>0</v>
      </c>
      <c r="G13" s="77">
        <v>0</v>
      </c>
      <c r="H13" s="77">
        <v>0</v>
      </c>
      <c r="I13" s="77">
        <v>0</v>
      </c>
      <c r="J13" s="77">
        <v>0</v>
      </c>
      <c r="K13" s="77">
        <v>0</v>
      </c>
      <c r="L13" s="77">
        <v>0</v>
      </c>
      <c r="M13" s="15"/>
    </row>
    <row r="14" spans="1:13" x14ac:dyDescent="0.25">
      <c r="A14" s="72">
        <v>7</v>
      </c>
      <c r="B14" s="82" t="s">
        <v>198</v>
      </c>
      <c r="C14" s="77">
        <v>0</v>
      </c>
      <c r="D14" s="77">
        <v>0</v>
      </c>
      <c r="E14" s="77">
        <v>0</v>
      </c>
      <c r="F14" s="77">
        <v>0</v>
      </c>
      <c r="G14" s="77">
        <v>0</v>
      </c>
      <c r="H14" s="77">
        <v>0</v>
      </c>
      <c r="I14" s="77">
        <v>0</v>
      </c>
      <c r="J14" s="77">
        <v>0</v>
      </c>
      <c r="K14" s="77">
        <v>0</v>
      </c>
      <c r="L14" s="77">
        <v>0</v>
      </c>
      <c r="M14" s="15"/>
    </row>
    <row r="15" spans="1:13" ht="26.25" customHeight="1" x14ac:dyDescent="0.25">
      <c r="A15" s="83">
        <v>8</v>
      </c>
      <c r="B15" s="79" t="s">
        <v>1</v>
      </c>
      <c r="C15" s="84"/>
      <c r="D15" s="84"/>
      <c r="E15" s="84"/>
      <c r="F15" s="84"/>
      <c r="G15" s="84"/>
      <c r="H15" s="84"/>
      <c r="I15" s="84"/>
      <c r="J15" s="85"/>
      <c r="K15" s="84"/>
      <c r="L15" s="84"/>
      <c r="M15" s="15"/>
    </row>
    <row r="16" spans="1:13" ht="26.25" customHeight="1" x14ac:dyDescent="0.25">
      <c r="A16" s="83">
        <v>9</v>
      </c>
      <c r="B16" s="79" t="s">
        <v>1</v>
      </c>
      <c r="C16" s="84"/>
      <c r="D16" s="84"/>
      <c r="E16" s="84"/>
      <c r="F16" s="84"/>
      <c r="G16" s="84"/>
      <c r="H16" s="84"/>
      <c r="I16" s="84"/>
      <c r="J16" s="85"/>
      <c r="K16" s="84"/>
      <c r="L16" s="84"/>
      <c r="M16" s="15"/>
    </row>
    <row r="17" spans="1:13" ht="22.5" x14ac:dyDescent="0.25">
      <c r="A17" s="72">
        <v>10</v>
      </c>
      <c r="B17" s="82" t="s">
        <v>1258</v>
      </c>
      <c r="C17" s="77">
        <v>0</v>
      </c>
      <c r="D17" s="77">
        <v>0</v>
      </c>
      <c r="E17" s="77">
        <v>0</v>
      </c>
      <c r="F17" s="77">
        <v>0</v>
      </c>
      <c r="G17" s="77">
        <v>0</v>
      </c>
      <c r="H17" s="77">
        <v>0</v>
      </c>
      <c r="I17" s="77">
        <v>0</v>
      </c>
      <c r="J17" s="77">
        <v>0</v>
      </c>
      <c r="K17" s="77">
        <v>0</v>
      </c>
      <c r="L17" s="77">
        <v>0</v>
      </c>
      <c r="M17" s="15"/>
    </row>
    <row r="18" spans="1:13" ht="26.25" customHeight="1" x14ac:dyDescent="0.25">
      <c r="A18" s="83">
        <v>11</v>
      </c>
      <c r="B18" s="79" t="s">
        <v>1</v>
      </c>
      <c r="C18" s="84"/>
      <c r="D18" s="84"/>
      <c r="E18" s="84"/>
      <c r="F18" s="84"/>
      <c r="G18" s="84"/>
      <c r="H18" s="84"/>
      <c r="I18" s="84"/>
      <c r="J18" s="85"/>
      <c r="K18" s="84"/>
      <c r="L18" s="84"/>
      <c r="M18" s="15"/>
    </row>
    <row r="19" spans="1:13" ht="33.75" x14ac:dyDescent="0.25">
      <c r="A19" s="72">
        <v>12</v>
      </c>
      <c r="B19" s="86" t="s">
        <v>199</v>
      </c>
      <c r="C19" s="87"/>
      <c r="D19" s="87"/>
      <c r="E19" s="87"/>
      <c r="F19" s="87"/>
      <c r="G19" s="87"/>
      <c r="H19" s="87"/>
      <c r="I19" s="87"/>
      <c r="J19" s="88">
        <v>0</v>
      </c>
      <c r="K19" s="89">
        <v>0</v>
      </c>
      <c r="L19" s="89">
        <v>0</v>
      </c>
      <c r="M19" s="15"/>
    </row>
  </sheetData>
  <mergeCells count="3">
    <mergeCell ref="C6:G6"/>
    <mergeCell ref="H6:I6"/>
    <mergeCell ref="J6:J7"/>
  </mergeCells>
  <hyperlinks>
    <hyperlink ref="B2" location="Indhold!B69" display="Skema EU PV1 – Justeringer som følge af forsigtig værdiansættelse (PVA)" xr:uid="{4CDA8026-6C21-4641-B980-76A036EDAFDD}"/>
  </hyperlinks>
  <pageMargins left="0.70866141732283472" right="0.70866141732283472" top="0.74803149606299213" bottom="0.74803149606299213" header="0.31496062992125984" footer="0.31496062992125984"/>
  <pageSetup paperSize="9" orientation="landscape" r:id="rId1"/>
  <headerFooter>
    <oddHeader>&amp;CDA
Bilag 5</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52EB-1349-4A8B-B55B-2C56D1F238F2}">
  <sheetPr>
    <tabColor rgb="FFFF0000"/>
  </sheetPr>
  <dimension ref="A3:O18"/>
  <sheetViews>
    <sheetView showGridLines="0" zoomScaleNormal="100" workbookViewId="0">
      <selection activeCell="B3" sqref="B3"/>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878" t="s">
        <v>327</v>
      </c>
    </row>
    <row r="4" spans="1:15" ht="18.75" x14ac:dyDescent="0.25">
      <c r="B4" s="42"/>
    </row>
    <row r="6" spans="1:15" x14ac:dyDescent="0.25">
      <c r="A6" s="15"/>
      <c r="B6" s="15"/>
      <c r="C6" s="109" t="s">
        <v>105</v>
      </c>
      <c r="D6" s="109" t="s">
        <v>104</v>
      </c>
      <c r="E6" s="109" t="s">
        <v>99</v>
      </c>
      <c r="F6" s="109" t="s">
        <v>98</v>
      </c>
      <c r="G6" s="109" t="s">
        <v>97</v>
      </c>
      <c r="H6" s="109" t="s">
        <v>113</v>
      </c>
      <c r="I6" s="109" t="s">
        <v>114</v>
      </c>
      <c r="J6" s="109" t="s">
        <v>169</v>
      </c>
      <c r="K6" s="109" t="s">
        <v>328</v>
      </c>
      <c r="L6" s="109" t="s">
        <v>329</v>
      </c>
      <c r="M6" s="109" t="s">
        <v>330</v>
      </c>
      <c r="N6" s="109" t="s">
        <v>331</v>
      </c>
      <c r="O6" s="109" t="s">
        <v>332</v>
      </c>
    </row>
    <row r="7" spans="1:15" ht="15.75" customHeight="1" x14ac:dyDescent="0.25">
      <c r="A7" s="15"/>
      <c r="B7" s="15"/>
      <c r="C7" s="1170" t="s">
        <v>333</v>
      </c>
      <c r="D7" s="1171"/>
      <c r="E7" s="1170" t="s">
        <v>334</v>
      </c>
      <c r="F7" s="1171"/>
      <c r="G7" s="1167" t="s">
        <v>335</v>
      </c>
      <c r="H7" s="1167" t="s">
        <v>336</v>
      </c>
      <c r="I7" s="1170" t="s">
        <v>337</v>
      </c>
      <c r="J7" s="1174"/>
      <c r="K7" s="1174"/>
      <c r="L7" s="1171"/>
      <c r="M7" s="1167" t="s">
        <v>338</v>
      </c>
      <c r="N7" s="1167" t="s">
        <v>339</v>
      </c>
      <c r="O7" s="1167" t="s">
        <v>340</v>
      </c>
    </row>
    <row r="8" spans="1:15" x14ac:dyDescent="0.25">
      <c r="A8" s="15"/>
      <c r="B8" s="15"/>
      <c r="C8" s="1172"/>
      <c r="D8" s="1173"/>
      <c r="E8" s="1172"/>
      <c r="F8" s="1173"/>
      <c r="G8" s="1168"/>
      <c r="H8" s="1168"/>
      <c r="I8" s="1172"/>
      <c r="J8" s="1175"/>
      <c r="K8" s="1175"/>
      <c r="L8" s="1176"/>
      <c r="M8" s="1168"/>
      <c r="N8" s="1168"/>
      <c r="O8" s="1168"/>
    </row>
    <row r="9" spans="1:15" ht="60" x14ac:dyDescent="0.25">
      <c r="A9" s="15"/>
      <c r="B9" s="15"/>
      <c r="C9" s="109" t="s">
        <v>341</v>
      </c>
      <c r="D9" s="109" t="s">
        <v>342</v>
      </c>
      <c r="E9" s="109" t="s">
        <v>343</v>
      </c>
      <c r="F9" s="109" t="s">
        <v>344</v>
      </c>
      <c r="G9" s="1169"/>
      <c r="H9" s="1169"/>
      <c r="I9" s="110" t="s">
        <v>345</v>
      </c>
      <c r="J9" s="110" t="s">
        <v>334</v>
      </c>
      <c r="K9" s="110" t="s">
        <v>346</v>
      </c>
      <c r="L9" s="111" t="s">
        <v>347</v>
      </c>
      <c r="M9" s="1169"/>
      <c r="N9" s="1169"/>
      <c r="O9" s="1169"/>
    </row>
    <row r="10" spans="1:15" ht="24" x14ac:dyDescent="0.25">
      <c r="A10" s="112" t="s">
        <v>348</v>
      </c>
      <c r="B10" s="113" t="s">
        <v>349</v>
      </c>
      <c r="C10" s="114"/>
      <c r="D10" s="114"/>
      <c r="E10" s="114"/>
      <c r="F10" s="114"/>
      <c r="G10" s="114"/>
      <c r="H10" s="114"/>
      <c r="I10" s="114"/>
      <c r="J10" s="114"/>
      <c r="K10" s="114"/>
      <c r="L10" s="114"/>
      <c r="M10" s="114"/>
      <c r="N10" s="115"/>
      <c r="O10" s="115"/>
    </row>
    <row r="11" spans="1:15" x14ac:dyDescent="0.25">
      <c r="A11" s="116"/>
      <c r="B11" s="117" t="s">
        <v>350</v>
      </c>
      <c r="C11" s="118"/>
      <c r="D11" s="118"/>
      <c r="E11" s="118"/>
      <c r="F11" s="118"/>
      <c r="G11" s="118"/>
      <c r="H11" s="119"/>
      <c r="I11" s="118"/>
      <c r="J11" s="118"/>
      <c r="K11" s="118"/>
      <c r="L11" s="118"/>
      <c r="M11" s="119"/>
      <c r="N11" s="118"/>
      <c r="O11" s="118"/>
    </row>
    <row r="12" spans="1:15" x14ac:dyDescent="0.25">
      <c r="A12" s="116"/>
      <c r="B12" s="117" t="s">
        <v>351</v>
      </c>
      <c r="C12" s="118"/>
      <c r="D12" s="118"/>
      <c r="E12" s="118"/>
      <c r="F12" s="118"/>
      <c r="G12" s="118"/>
      <c r="H12" s="119"/>
      <c r="I12" s="118"/>
      <c r="J12" s="118"/>
      <c r="K12" s="118"/>
      <c r="L12" s="118"/>
      <c r="M12" s="119"/>
      <c r="N12" s="118"/>
      <c r="O12" s="118"/>
    </row>
    <row r="13" spans="1:15" x14ac:dyDescent="0.25">
      <c r="A13" s="116"/>
      <c r="B13" s="120" t="s">
        <v>352</v>
      </c>
      <c r="C13" s="121"/>
      <c r="D13" s="121"/>
      <c r="E13" s="121"/>
      <c r="F13" s="121"/>
      <c r="G13" s="121"/>
      <c r="H13" s="121"/>
      <c r="I13" s="121"/>
      <c r="J13" s="121"/>
      <c r="K13" s="121"/>
      <c r="L13" s="121"/>
      <c r="M13" s="121"/>
      <c r="N13" s="121"/>
      <c r="O13" s="121"/>
    </row>
    <row r="14" spans="1:15" x14ac:dyDescent="0.25">
      <c r="A14" s="116"/>
      <c r="B14" s="120" t="s">
        <v>353</v>
      </c>
      <c r="C14" s="118"/>
      <c r="D14" s="118"/>
      <c r="E14" s="118"/>
      <c r="F14" s="118"/>
      <c r="G14" s="118"/>
      <c r="H14" s="119"/>
      <c r="I14" s="118"/>
      <c r="J14" s="118"/>
      <c r="K14" s="118"/>
      <c r="L14" s="118"/>
      <c r="M14" s="119"/>
      <c r="N14" s="118"/>
      <c r="O14" s="118"/>
    </row>
    <row r="15" spans="1:15" x14ac:dyDescent="0.25">
      <c r="A15" s="122" t="s">
        <v>354</v>
      </c>
      <c r="B15" s="120" t="s">
        <v>0</v>
      </c>
      <c r="C15" s="118"/>
      <c r="D15" s="118"/>
      <c r="E15" s="118"/>
      <c r="F15" s="118"/>
      <c r="G15" s="118"/>
      <c r="H15" s="119"/>
      <c r="I15" s="118"/>
      <c r="J15" s="118"/>
      <c r="K15" s="118"/>
      <c r="L15" s="118"/>
      <c r="M15" s="119"/>
      <c r="N15" s="118"/>
      <c r="O15" s="123"/>
    </row>
    <row r="18" spans="3:3" x14ac:dyDescent="0.25">
      <c r="C18" t="s">
        <v>355</v>
      </c>
    </row>
  </sheetData>
  <mergeCells count="8">
    <mergeCell ref="N7:N9"/>
    <mergeCell ref="O7:O9"/>
    <mergeCell ref="C7:D8"/>
    <mergeCell ref="E7:F8"/>
    <mergeCell ref="G7:G9"/>
    <mergeCell ref="H7:H9"/>
    <mergeCell ref="I7:L8"/>
    <mergeCell ref="M7:M9"/>
  </mergeCells>
  <conditionalFormatting sqref="C10:G15 I10:M15">
    <cfRule type="cellIs" dxfId="4" priority="5" stopIfTrue="1" operator="lessThan">
      <formula>0</formula>
    </cfRule>
  </conditionalFormatting>
  <conditionalFormatting sqref="O15">
    <cfRule type="cellIs" dxfId="3" priority="4" stopIfTrue="1" operator="lessThan">
      <formula>0</formula>
    </cfRule>
  </conditionalFormatting>
  <conditionalFormatting sqref="N11:N15">
    <cfRule type="cellIs" dxfId="2" priority="3" stopIfTrue="1" operator="lessThan">
      <formula>0</formula>
    </cfRule>
  </conditionalFormatting>
  <conditionalFormatting sqref="O11:O14">
    <cfRule type="cellIs" dxfId="1" priority="2" stopIfTrue="1" operator="lessThan">
      <formula>0</formula>
    </cfRule>
  </conditionalFormatting>
  <conditionalFormatting sqref="H10:H15">
    <cfRule type="cellIs" dxfId="0" priority="1" stopIfTrue="1" operator="lessThan">
      <formula>0</formula>
    </cfRule>
  </conditionalFormatting>
  <hyperlinks>
    <hyperlink ref="B3" location="Indhold!B70" display="Skema EU-CCyB1 — Geografisk fordeling af krediteksponeringer, der er relevante for beregningen af den kontracykliske kapitalbuffer" xr:uid="{C82D85E3-482F-46AE-BC3F-7C98DCA4889B}"/>
  </hyperlinks>
  <pageMargins left="0.70866141732283472" right="0.70866141732283472" top="0.74803149606299213" bottom="0.74803149606299213" header="0.31496062992125984" footer="0.31496062992125984"/>
  <pageSetup paperSize="9" scale="50" orientation="landscape" r:id="rId1"/>
  <headerFooter>
    <oddHeader>&amp;CDA
Bilag IX</oddHeader>
    <oddFooter>&amp;C&amp;P</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6C59-CFA8-40A2-9A64-726A59FCC45B}">
  <sheetPr>
    <tabColor rgb="FFFF0000"/>
  </sheetPr>
  <dimension ref="B2:E18"/>
  <sheetViews>
    <sheetView showGridLines="0" zoomScale="110" zoomScaleNormal="110" workbookViewId="0">
      <selection activeCell="B2" sqref="B2"/>
    </sheetView>
  </sheetViews>
  <sheetFormatPr defaultRowHeight="15" x14ac:dyDescent="0.25"/>
  <cols>
    <col min="1" max="1" width="7" customWidth="1"/>
    <col min="2" max="2" width="4.7109375" customWidth="1"/>
    <col min="3" max="3" width="58.5703125" customWidth="1"/>
    <col min="4" max="4" width="27.28515625" customWidth="1"/>
    <col min="5" max="5" width="29.140625" customWidth="1"/>
    <col min="7" max="7" width="3.28515625" customWidth="1"/>
    <col min="8" max="8" width="54.5703125" customWidth="1"/>
    <col min="9" max="9" width="25" customWidth="1"/>
  </cols>
  <sheetData>
    <row r="2" spans="2:5" x14ac:dyDescent="0.25">
      <c r="B2" s="878" t="s">
        <v>633</v>
      </c>
    </row>
    <row r="3" spans="2:5" ht="16.5" thickBot="1" x14ac:dyDescent="0.3">
      <c r="B3" s="170"/>
      <c r="C3" s="170"/>
      <c r="D3" s="171"/>
      <c r="E3" s="192"/>
    </row>
    <row r="4" spans="2:5" ht="16.5" thickBot="1" x14ac:dyDescent="0.3">
      <c r="B4" s="170"/>
      <c r="C4" s="171"/>
      <c r="D4" s="173" t="s">
        <v>105</v>
      </c>
      <c r="E4" s="193" t="s">
        <v>104</v>
      </c>
    </row>
    <row r="5" spans="2:5" ht="21.75" thickBot="1" x14ac:dyDescent="0.3">
      <c r="B5" s="170"/>
      <c r="C5" s="171"/>
      <c r="D5" s="194" t="s">
        <v>626</v>
      </c>
      <c r="E5" s="193" t="s">
        <v>634</v>
      </c>
    </row>
    <row r="6" spans="2:5" ht="25.5" customHeight="1" thickBot="1" x14ac:dyDescent="0.3">
      <c r="B6" s="195" t="s">
        <v>348</v>
      </c>
      <c r="C6" s="196" t="s">
        <v>627</v>
      </c>
      <c r="D6" s="425">
        <v>0</v>
      </c>
      <c r="E6" s="426"/>
    </row>
    <row r="7" spans="2:5" ht="25.5" customHeight="1" thickBot="1" x14ac:dyDescent="0.3">
      <c r="B7" s="181" t="s">
        <v>354</v>
      </c>
      <c r="C7" s="179" t="s">
        <v>628</v>
      </c>
      <c r="D7" s="425">
        <v>0</v>
      </c>
      <c r="E7" s="426"/>
    </row>
    <row r="8" spans="2:5" ht="25.5" customHeight="1" thickBot="1" x14ac:dyDescent="0.3">
      <c r="B8" s="181" t="s">
        <v>591</v>
      </c>
      <c r="C8" s="179" t="s">
        <v>629</v>
      </c>
      <c r="D8" s="425">
        <v>0</v>
      </c>
      <c r="E8" s="426"/>
    </row>
    <row r="9" spans="2:5" ht="25.5" customHeight="1" thickBot="1" x14ac:dyDescent="0.3">
      <c r="B9" s="181" t="s">
        <v>593</v>
      </c>
      <c r="C9" s="197" t="s">
        <v>635</v>
      </c>
      <c r="D9" s="425">
        <v>0</v>
      </c>
      <c r="E9" s="426"/>
    </row>
    <row r="10" spans="2:5" ht="25.5" customHeight="1" thickBot="1" x14ac:dyDescent="0.3">
      <c r="B10" s="181" t="s">
        <v>595</v>
      </c>
      <c r="C10" s="197" t="s">
        <v>636</v>
      </c>
      <c r="D10" s="427">
        <v>0</v>
      </c>
      <c r="E10" s="428"/>
    </row>
    <row r="11" spans="2:5" ht="25.5" customHeight="1" thickBot="1" x14ac:dyDescent="0.3">
      <c r="B11" s="181" t="s">
        <v>597</v>
      </c>
      <c r="C11" s="197" t="s">
        <v>637</v>
      </c>
      <c r="D11" s="429">
        <v>0</v>
      </c>
      <c r="E11" s="430">
        <v>0</v>
      </c>
    </row>
    <row r="12" spans="2:5" ht="25.5" customHeight="1" thickBot="1" x14ac:dyDescent="0.3">
      <c r="B12" s="181" t="s">
        <v>599</v>
      </c>
      <c r="C12" s="197" t="s">
        <v>638</v>
      </c>
      <c r="D12" s="427">
        <v>0</v>
      </c>
      <c r="E12" s="430">
        <v>0</v>
      </c>
    </row>
    <row r="13" spans="2:5" ht="25.5" customHeight="1" thickBot="1" x14ac:dyDescent="0.3">
      <c r="B13" s="181" t="s">
        <v>601</v>
      </c>
      <c r="C13" s="197" t="s">
        <v>639</v>
      </c>
      <c r="D13" s="427">
        <v>0</v>
      </c>
      <c r="E13" s="430">
        <v>0</v>
      </c>
    </row>
    <row r="14" spans="2:5" ht="25.5" customHeight="1" thickBot="1" x14ac:dyDescent="0.3">
      <c r="B14" s="181" t="s">
        <v>603</v>
      </c>
      <c r="C14" s="197" t="s">
        <v>640</v>
      </c>
      <c r="D14" s="427">
        <v>0</v>
      </c>
      <c r="E14" s="430">
        <v>0</v>
      </c>
    </row>
    <row r="15" spans="2:5" ht="25.5" customHeight="1" thickBot="1" x14ac:dyDescent="0.3">
      <c r="B15" s="181" t="s">
        <v>605</v>
      </c>
      <c r="C15" s="197" t="s">
        <v>630</v>
      </c>
      <c r="D15" s="427">
        <v>0</v>
      </c>
      <c r="E15" s="426"/>
    </row>
    <row r="16" spans="2:5" ht="25.5" customHeight="1" thickBot="1" x14ac:dyDescent="0.3">
      <c r="B16" s="181" t="s">
        <v>606</v>
      </c>
      <c r="C16" s="197" t="s">
        <v>631</v>
      </c>
      <c r="D16" s="427">
        <v>0</v>
      </c>
      <c r="E16" s="426"/>
    </row>
    <row r="17" spans="2:5" ht="25.5" customHeight="1" thickBot="1" x14ac:dyDescent="0.3">
      <c r="B17" s="190" t="s">
        <v>607</v>
      </c>
      <c r="C17" s="191" t="s">
        <v>641</v>
      </c>
      <c r="D17" s="427">
        <v>0</v>
      </c>
      <c r="E17" s="431"/>
    </row>
    <row r="18" spans="2:5" ht="25.5" customHeight="1" thickBot="1" x14ac:dyDescent="0.3">
      <c r="B18" s="198" t="s">
        <v>608</v>
      </c>
      <c r="C18" s="199" t="s">
        <v>632</v>
      </c>
      <c r="D18" s="427">
        <v>0</v>
      </c>
      <c r="E18" s="426"/>
    </row>
  </sheetData>
  <hyperlinks>
    <hyperlink ref="B2" location="Indhold!B71" display="Skema EU CR2a: Ændringer i beholdningen af misligholdte lån og forskud og akkumulerede inddrevne nettobeløb i forbindelse hermed" xr:uid="{114CBBD1-E8D2-4428-AEDC-CC11BC52CEA6}"/>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B02D-6245-4083-A0B2-5A69B3CCBA41}">
  <sheetPr>
    <tabColor rgb="FFFF0000"/>
  </sheetPr>
  <dimension ref="B2:D9"/>
  <sheetViews>
    <sheetView showGridLines="0" zoomScaleNormal="100" workbookViewId="0">
      <selection activeCell="B2" sqref="B2"/>
    </sheetView>
  </sheetViews>
  <sheetFormatPr defaultRowHeight="15" x14ac:dyDescent="0.25"/>
  <cols>
    <col min="2" max="2" width="4.28515625" customWidth="1"/>
    <col min="3" max="3" width="41.85546875" customWidth="1"/>
    <col min="4" max="4" width="49.42578125" customWidth="1"/>
  </cols>
  <sheetData>
    <row r="2" spans="2:4" x14ac:dyDescent="0.25">
      <c r="B2" s="878" t="s">
        <v>650</v>
      </c>
    </row>
    <row r="3" spans="2:4" ht="16.5" thickBot="1" x14ac:dyDescent="0.3">
      <c r="B3" s="443"/>
      <c r="C3" s="443"/>
      <c r="D3" s="171"/>
    </row>
    <row r="4" spans="2:4" ht="16.5" thickBot="1" x14ac:dyDescent="0.3">
      <c r="B4" s="172"/>
      <c r="C4" s="172"/>
      <c r="D4" s="173" t="s">
        <v>105</v>
      </c>
    </row>
    <row r="5" spans="2:4" ht="36" customHeight="1" x14ac:dyDescent="0.25">
      <c r="B5" s="172"/>
      <c r="C5" s="172"/>
      <c r="D5" s="1177" t="s">
        <v>651</v>
      </c>
    </row>
    <row r="6" spans="2:4" ht="16.5" thickBot="1" x14ac:dyDescent="0.3">
      <c r="B6" s="172"/>
      <c r="C6" s="172"/>
      <c r="D6" s="1178"/>
    </row>
    <row r="7" spans="2:4" ht="29.25" customHeight="1" thickBot="1" x14ac:dyDescent="0.3">
      <c r="B7" s="177" t="s">
        <v>348</v>
      </c>
      <c r="C7" s="178" t="s">
        <v>652</v>
      </c>
      <c r="D7" s="432">
        <v>0</v>
      </c>
    </row>
    <row r="8" spans="2:4" ht="50.25" customHeight="1" thickBot="1" x14ac:dyDescent="0.3">
      <c r="B8" s="181" t="s">
        <v>354</v>
      </c>
      <c r="C8" s="179" t="s">
        <v>653</v>
      </c>
      <c r="D8" s="432">
        <v>0</v>
      </c>
    </row>
    <row r="9" spans="2:4" ht="63" customHeight="1" x14ac:dyDescent="0.25">
      <c r="B9" s="1179"/>
      <c r="C9" s="1179"/>
      <c r="D9" s="1179"/>
    </row>
  </sheetData>
  <mergeCells count="2">
    <mergeCell ref="D5:D6"/>
    <mergeCell ref="B9:D9"/>
  </mergeCells>
  <hyperlinks>
    <hyperlink ref="B2" location="Indhold!B72" display="Skema EU CQ2: Kvalitet af kreditlempelser" xr:uid="{5C5C7A35-1513-4D9C-B20C-EC1BD9BB8F6F}"/>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B57B-3685-4687-B72A-C81E438698AF}">
  <sheetPr>
    <tabColor rgb="FFFF0000"/>
  </sheetPr>
  <dimension ref="B2:K24"/>
  <sheetViews>
    <sheetView showGridLines="0" zoomScaleNormal="100" workbookViewId="0">
      <selection activeCell="B2" sqref="B2"/>
    </sheetView>
  </sheetViews>
  <sheetFormatPr defaultRowHeight="15" x14ac:dyDescent="0.25"/>
  <cols>
    <col min="2" max="2" width="4.28515625" customWidth="1"/>
    <col min="3" max="3" width="14.7109375" customWidth="1"/>
    <col min="8" max="8" width="12.42578125" customWidth="1"/>
    <col min="9" max="9" width="16" customWidth="1"/>
    <col min="10" max="10" width="10.85546875" customWidth="1"/>
    <col min="11" max="11" width="6.7109375" customWidth="1"/>
  </cols>
  <sheetData>
    <row r="2" spans="2:11" x14ac:dyDescent="0.25">
      <c r="B2" s="878" t="s">
        <v>735</v>
      </c>
    </row>
    <row r="3" spans="2:11" ht="15.75" x14ac:dyDescent="0.25">
      <c r="B3" s="170"/>
      <c r="C3" s="170"/>
      <c r="D3" s="171"/>
      <c r="E3" s="171"/>
      <c r="H3" s="171"/>
      <c r="I3" s="171"/>
      <c r="J3" s="201"/>
      <c r="K3" s="171"/>
    </row>
    <row r="4" spans="2:11" ht="16.5" thickBot="1" x14ac:dyDescent="0.3">
      <c r="B4" s="170"/>
      <c r="C4" s="171"/>
      <c r="D4" s="171"/>
      <c r="E4" s="171"/>
      <c r="F4" s="1182"/>
      <c r="G4" s="1182"/>
      <c r="H4" s="171"/>
      <c r="I4" s="171"/>
      <c r="J4" s="201"/>
      <c r="K4" s="171"/>
    </row>
    <row r="5" spans="2:11" ht="16.5" thickBot="1" x14ac:dyDescent="0.3">
      <c r="B5" s="172"/>
      <c r="C5" s="172"/>
      <c r="D5" s="173" t="s">
        <v>105</v>
      </c>
      <c r="E5" s="174" t="s">
        <v>104</v>
      </c>
      <c r="F5" s="174" t="s">
        <v>99</v>
      </c>
      <c r="G5" s="174" t="s">
        <v>98</v>
      </c>
      <c r="H5" s="174" t="s">
        <v>97</v>
      </c>
      <c r="I5" s="174" t="s">
        <v>664</v>
      </c>
      <c r="J5" s="1183" t="s">
        <v>114</v>
      </c>
      <c r="K5" s="1184"/>
    </row>
    <row r="6" spans="2:11" ht="84" customHeight="1" thickBot="1" x14ac:dyDescent="0.3">
      <c r="B6" s="172"/>
      <c r="C6" s="172"/>
      <c r="D6" s="1185" t="s">
        <v>577</v>
      </c>
      <c r="E6" s="1186"/>
      <c r="F6" s="1186"/>
      <c r="G6" s="1187"/>
      <c r="H6" s="1188" t="s">
        <v>1267</v>
      </c>
      <c r="I6" s="1177" t="s">
        <v>665</v>
      </c>
      <c r="J6" s="1185" t="s">
        <v>666</v>
      </c>
      <c r="K6" s="1188"/>
    </row>
    <row r="7" spans="2:11" ht="49.5" customHeight="1" thickBot="1" x14ac:dyDescent="0.3">
      <c r="B7" s="202"/>
      <c r="C7" s="202"/>
      <c r="D7" s="203"/>
      <c r="E7" s="1185" t="s">
        <v>667</v>
      </c>
      <c r="F7" s="1188"/>
      <c r="G7" s="1194" t="s">
        <v>1266</v>
      </c>
      <c r="H7" s="1189"/>
      <c r="I7" s="1190"/>
      <c r="J7" s="1191"/>
      <c r="K7" s="1189"/>
    </row>
    <row r="8" spans="2:11" ht="15.75" x14ac:dyDescent="0.25">
      <c r="B8" s="172"/>
      <c r="C8" s="172"/>
      <c r="D8" s="203"/>
      <c r="E8" s="1197"/>
      <c r="F8" s="1177" t="s">
        <v>1263</v>
      </c>
      <c r="G8" s="1195"/>
      <c r="H8" s="1199"/>
      <c r="I8" s="1190"/>
      <c r="J8" s="1191"/>
      <c r="K8" s="1189"/>
    </row>
    <row r="9" spans="2:11" ht="16.5" thickBot="1" x14ac:dyDescent="0.3">
      <c r="B9" s="172"/>
      <c r="C9" s="172"/>
      <c r="D9" s="203"/>
      <c r="E9" s="1198"/>
      <c r="F9" s="1178"/>
      <c r="G9" s="1196"/>
      <c r="H9" s="1200"/>
      <c r="I9" s="1178"/>
      <c r="J9" s="1192"/>
      <c r="K9" s="1193"/>
    </row>
    <row r="10" spans="2:11" ht="21.75" thickBot="1" x14ac:dyDescent="0.3">
      <c r="B10" s="195" t="s">
        <v>348</v>
      </c>
      <c r="C10" s="204" t="s">
        <v>668</v>
      </c>
      <c r="D10" s="433">
        <v>0</v>
      </c>
      <c r="E10" s="434">
        <v>0</v>
      </c>
      <c r="F10" s="433">
        <v>0</v>
      </c>
      <c r="G10" s="433">
        <v>0</v>
      </c>
      <c r="H10" s="433">
        <v>0</v>
      </c>
      <c r="I10" s="435"/>
      <c r="J10" s="1201">
        <v>0</v>
      </c>
      <c r="K10" s="1202"/>
    </row>
    <row r="11" spans="2:11" ht="15.75" thickBot="1" x14ac:dyDescent="0.3">
      <c r="B11" s="180" t="s">
        <v>354</v>
      </c>
      <c r="C11" s="205" t="s">
        <v>669</v>
      </c>
      <c r="D11" s="424"/>
      <c r="E11" s="424"/>
      <c r="F11" s="424"/>
      <c r="G11" s="424"/>
      <c r="H11" s="424"/>
      <c r="I11" s="436"/>
      <c r="J11" s="1180"/>
      <c r="K11" s="1181"/>
    </row>
    <row r="12" spans="2:11" ht="15.75" thickBot="1" x14ac:dyDescent="0.3">
      <c r="B12" s="180" t="s">
        <v>591</v>
      </c>
      <c r="C12" s="205" t="s">
        <v>670</v>
      </c>
      <c r="D12" s="424"/>
      <c r="E12" s="424"/>
      <c r="F12" s="424"/>
      <c r="G12" s="424"/>
      <c r="H12" s="424"/>
      <c r="I12" s="436"/>
      <c r="J12" s="1180"/>
      <c r="K12" s="1181"/>
    </row>
    <row r="13" spans="2:11" ht="15.75" thickBot="1" x14ac:dyDescent="0.3">
      <c r="B13" s="180" t="s">
        <v>593</v>
      </c>
      <c r="C13" s="205" t="s">
        <v>671</v>
      </c>
      <c r="D13" s="424"/>
      <c r="E13" s="424"/>
      <c r="F13" s="424"/>
      <c r="G13" s="424"/>
      <c r="H13" s="424"/>
      <c r="I13" s="436"/>
      <c r="J13" s="1180"/>
      <c r="K13" s="1181"/>
    </row>
    <row r="14" spans="2:11" ht="15.75" thickBot="1" x14ac:dyDescent="0.3">
      <c r="B14" s="180" t="s">
        <v>595</v>
      </c>
      <c r="C14" s="205" t="s">
        <v>672</v>
      </c>
      <c r="D14" s="424"/>
      <c r="E14" s="424"/>
      <c r="F14" s="424"/>
      <c r="G14" s="424"/>
      <c r="H14" s="424"/>
      <c r="I14" s="436"/>
      <c r="J14" s="1180"/>
      <c r="K14" s="1181"/>
    </row>
    <row r="15" spans="2:11" ht="15.75" thickBot="1" x14ac:dyDescent="0.3">
      <c r="B15" s="180" t="s">
        <v>597</v>
      </c>
      <c r="C15" s="205" t="s">
        <v>673</v>
      </c>
      <c r="D15" s="424"/>
      <c r="E15" s="424"/>
      <c r="F15" s="424"/>
      <c r="G15" s="424"/>
      <c r="H15" s="424"/>
      <c r="I15" s="436"/>
      <c r="J15" s="1180"/>
      <c r="K15" s="1181"/>
    </row>
    <row r="16" spans="2:11" ht="15.75" thickBot="1" x14ac:dyDescent="0.3">
      <c r="B16" s="180" t="s">
        <v>599</v>
      </c>
      <c r="C16" s="205" t="s">
        <v>674</v>
      </c>
      <c r="D16" s="424"/>
      <c r="E16" s="424"/>
      <c r="F16" s="424"/>
      <c r="G16" s="424"/>
      <c r="H16" s="424"/>
      <c r="I16" s="436"/>
      <c r="J16" s="1180"/>
      <c r="K16" s="1181"/>
    </row>
    <row r="17" spans="2:11" ht="21.75" thickBot="1" x14ac:dyDescent="0.3">
      <c r="B17" s="180" t="s">
        <v>601</v>
      </c>
      <c r="C17" s="182" t="s">
        <v>420</v>
      </c>
      <c r="D17" s="434">
        <v>0</v>
      </c>
      <c r="E17" s="434">
        <v>0</v>
      </c>
      <c r="F17" s="434">
        <v>0</v>
      </c>
      <c r="G17" s="437"/>
      <c r="H17" s="437"/>
      <c r="I17" s="434">
        <v>0</v>
      </c>
      <c r="J17" s="1203"/>
      <c r="K17" s="1204"/>
    </row>
    <row r="18" spans="2:11" ht="15.75" thickBot="1" x14ac:dyDescent="0.3">
      <c r="B18" s="181" t="s">
        <v>603</v>
      </c>
      <c r="C18" s="205" t="s">
        <v>669</v>
      </c>
      <c r="D18" s="424"/>
      <c r="E18" s="424"/>
      <c r="F18" s="424"/>
      <c r="G18" s="436"/>
      <c r="H18" s="436"/>
      <c r="I18" s="424"/>
      <c r="J18" s="1203"/>
      <c r="K18" s="1204"/>
    </row>
    <row r="19" spans="2:11" ht="15.75" thickBot="1" x14ac:dyDescent="0.3">
      <c r="B19" s="180" t="s">
        <v>605</v>
      </c>
      <c r="C19" s="205" t="s">
        <v>670</v>
      </c>
      <c r="D19" s="424"/>
      <c r="E19" s="424"/>
      <c r="F19" s="424"/>
      <c r="G19" s="436"/>
      <c r="H19" s="436"/>
      <c r="I19" s="424"/>
      <c r="J19" s="1203"/>
      <c r="K19" s="1204"/>
    </row>
    <row r="20" spans="2:11" ht="15.75" thickBot="1" x14ac:dyDescent="0.3">
      <c r="B20" s="180" t="s">
        <v>606</v>
      </c>
      <c r="C20" s="205" t="s">
        <v>671</v>
      </c>
      <c r="D20" s="424"/>
      <c r="E20" s="424"/>
      <c r="F20" s="424"/>
      <c r="G20" s="436"/>
      <c r="H20" s="436"/>
      <c r="I20" s="424"/>
      <c r="J20" s="1203"/>
      <c r="K20" s="1204"/>
    </row>
    <row r="21" spans="2:11" ht="15.75" thickBot="1" x14ac:dyDescent="0.3">
      <c r="B21" s="180" t="s">
        <v>607</v>
      </c>
      <c r="C21" s="205" t="s">
        <v>672</v>
      </c>
      <c r="D21" s="424"/>
      <c r="E21" s="424"/>
      <c r="F21" s="424"/>
      <c r="G21" s="436"/>
      <c r="H21" s="436"/>
      <c r="I21" s="424"/>
      <c r="J21" s="1203"/>
      <c r="K21" s="1204"/>
    </row>
    <row r="22" spans="2:11" ht="15.75" thickBot="1" x14ac:dyDescent="0.3">
      <c r="B22" s="180" t="s">
        <v>608</v>
      </c>
      <c r="C22" s="205" t="s">
        <v>673</v>
      </c>
      <c r="D22" s="424"/>
      <c r="E22" s="424"/>
      <c r="F22" s="424"/>
      <c r="G22" s="436"/>
      <c r="H22" s="436"/>
      <c r="I22" s="424"/>
      <c r="J22" s="1203"/>
      <c r="K22" s="1204"/>
    </row>
    <row r="23" spans="2:11" ht="15.75" thickBot="1" x14ac:dyDescent="0.3">
      <c r="B23" s="180" t="s">
        <v>609</v>
      </c>
      <c r="C23" s="205" t="s">
        <v>674</v>
      </c>
      <c r="D23" s="424"/>
      <c r="E23" s="424"/>
      <c r="F23" s="424"/>
      <c r="G23" s="436"/>
      <c r="H23" s="436"/>
      <c r="I23" s="424"/>
      <c r="J23" s="1203"/>
      <c r="K23" s="1204"/>
    </row>
    <row r="24" spans="2:11" ht="15.75" thickBot="1" x14ac:dyDescent="0.3">
      <c r="B24" s="198" t="s">
        <v>610</v>
      </c>
      <c r="C24" s="182" t="s">
        <v>0</v>
      </c>
      <c r="D24" s="424">
        <v>0</v>
      </c>
      <c r="E24" s="424">
        <v>0</v>
      </c>
      <c r="F24" s="424">
        <v>0</v>
      </c>
      <c r="G24" s="424">
        <v>0</v>
      </c>
      <c r="H24" s="424">
        <v>0</v>
      </c>
      <c r="I24" s="424">
        <v>0</v>
      </c>
      <c r="J24" s="1205">
        <v>0</v>
      </c>
      <c r="K24" s="1206"/>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hyperlinks>
    <hyperlink ref="B2" location="Indhold!B73" display="Skema EU CQ4: Kvaliteten af misligholdte eksponeringer efter geografisk placering " xr:uid="{1DBA8A8F-9842-489F-8551-6C8CCF8E49BD}"/>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E6DBD-AF2D-4D44-B564-7E6AD1E6CB9D}">
  <sheetPr>
    <tabColor rgb="FFFF0000"/>
  </sheetPr>
  <dimension ref="A2:N22"/>
  <sheetViews>
    <sheetView showGridLines="0" zoomScaleNormal="100" workbookViewId="0">
      <selection activeCell="A2" sqref="A2"/>
    </sheetView>
  </sheetViews>
  <sheetFormatPr defaultRowHeight="15" x14ac:dyDescent="0.25"/>
  <cols>
    <col min="1" max="1" width="4.42578125" customWidth="1"/>
    <col min="2" max="2" width="25.85546875" customWidth="1"/>
    <col min="3" max="4" width="7.5703125" customWidth="1"/>
    <col min="6" max="6" width="6.7109375" customWidth="1"/>
    <col min="8" max="8" width="6.28515625" customWidth="1"/>
    <col min="12" max="12" width="8.7109375" customWidth="1"/>
    <col min="13" max="13" width="8.5703125" customWidth="1"/>
  </cols>
  <sheetData>
    <row r="2" spans="1:14" x14ac:dyDescent="0.25">
      <c r="A2" s="878" t="s">
        <v>697</v>
      </c>
    </row>
    <row r="3" spans="1:14" ht="16.5" thickBot="1" x14ac:dyDescent="0.3">
      <c r="A3" s="170"/>
      <c r="B3" s="170"/>
      <c r="C3" s="171"/>
      <c r="D3" s="171"/>
      <c r="E3" s="171"/>
      <c r="F3" s="171"/>
      <c r="G3" s="171"/>
      <c r="H3" s="171"/>
      <c r="I3" s="171"/>
      <c r="J3" s="171"/>
      <c r="K3" s="171"/>
      <c r="L3" s="171"/>
      <c r="M3" s="171"/>
      <c r="N3" s="171"/>
    </row>
    <row r="4" spans="1:14" ht="16.5" thickBot="1" x14ac:dyDescent="0.3">
      <c r="A4" s="170"/>
      <c r="B4" s="206"/>
      <c r="C4" s="207" t="s">
        <v>105</v>
      </c>
      <c r="D4" s="208" t="s">
        <v>104</v>
      </c>
      <c r="E4" s="208" t="s">
        <v>99</v>
      </c>
      <c r="F4" s="208" t="s">
        <v>98</v>
      </c>
      <c r="G4" s="208" t="s">
        <v>97</v>
      </c>
      <c r="H4" s="208" t="s">
        <v>113</v>
      </c>
      <c r="I4" s="208" t="s">
        <v>114</v>
      </c>
      <c r="J4" s="208" t="s">
        <v>169</v>
      </c>
      <c r="K4" s="208" t="s">
        <v>328</v>
      </c>
      <c r="L4" s="208" t="s">
        <v>329</v>
      </c>
      <c r="M4" s="208" t="s">
        <v>330</v>
      </c>
      <c r="N4" s="208" t="s">
        <v>331</v>
      </c>
    </row>
    <row r="5" spans="1:14" ht="21" customHeight="1" thickBot="1" x14ac:dyDescent="0.3">
      <c r="A5" s="172"/>
      <c r="B5" s="172"/>
      <c r="C5" s="209" t="s">
        <v>589</v>
      </c>
      <c r="D5" s="202"/>
      <c r="E5" s="202"/>
      <c r="F5" s="202"/>
      <c r="G5" s="202"/>
      <c r="H5" s="202"/>
      <c r="I5" s="202"/>
      <c r="J5" s="202"/>
      <c r="K5" s="202"/>
      <c r="L5" s="202"/>
      <c r="M5" s="202"/>
      <c r="N5" s="175"/>
    </row>
    <row r="6" spans="1:14" ht="23.25" customHeight="1" thickBot="1" x14ac:dyDescent="0.3">
      <c r="A6" s="172"/>
      <c r="B6" s="172"/>
      <c r="C6" s="210"/>
      <c r="D6" s="211" t="s">
        <v>698</v>
      </c>
      <c r="E6" s="212"/>
      <c r="F6" s="211" t="s">
        <v>699</v>
      </c>
      <c r="G6" s="213"/>
      <c r="H6" s="213"/>
      <c r="I6" s="213"/>
      <c r="J6" s="213"/>
      <c r="K6" s="213"/>
      <c r="L6" s="213"/>
      <c r="M6" s="213"/>
      <c r="N6" s="178"/>
    </row>
    <row r="7" spans="1:14" ht="33" customHeight="1" thickBot="1" x14ac:dyDescent="0.3">
      <c r="A7" s="172"/>
      <c r="B7" s="172"/>
      <c r="C7" s="210"/>
      <c r="D7" s="210"/>
      <c r="E7" s="214"/>
      <c r="F7" s="210"/>
      <c r="G7" s="1177" t="s">
        <v>656</v>
      </c>
      <c r="H7" s="1207" t="s">
        <v>700</v>
      </c>
      <c r="I7" s="1208"/>
      <c r="J7" s="1208"/>
      <c r="K7" s="1208"/>
      <c r="L7" s="1208"/>
      <c r="M7" s="1208"/>
      <c r="N7" s="1209"/>
    </row>
    <row r="8" spans="1:14" ht="63.75" customHeight="1" thickBot="1" x14ac:dyDescent="0.3">
      <c r="A8" s="172"/>
      <c r="B8" s="172"/>
      <c r="C8" s="210"/>
      <c r="D8" s="210"/>
      <c r="E8" s="215" t="s">
        <v>1268</v>
      </c>
      <c r="F8" s="216"/>
      <c r="G8" s="1178"/>
      <c r="H8" s="217"/>
      <c r="I8" s="176" t="s">
        <v>1269</v>
      </c>
      <c r="J8" s="176" t="s">
        <v>1270</v>
      </c>
      <c r="K8" s="176" t="s">
        <v>701</v>
      </c>
      <c r="L8" s="176" t="s">
        <v>702</v>
      </c>
      <c r="M8" s="176" t="s">
        <v>703</v>
      </c>
      <c r="N8" s="176" t="s">
        <v>1271</v>
      </c>
    </row>
    <row r="9" spans="1:14" ht="15.75" thickBot="1" x14ac:dyDescent="0.3">
      <c r="A9" s="218" t="s">
        <v>348</v>
      </c>
      <c r="B9" s="219" t="s">
        <v>676</v>
      </c>
      <c r="C9" s="423">
        <v>0</v>
      </c>
      <c r="D9" s="423">
        <v>0</v>
      </c>
      <c r="E9" s="423">
        <v>0</v>
      </c>
      <c r="F9" s="423">
        <v>0</v>
      </c>
      <c r="G9" s="423">
        <v>0</v>
      </c>
      <c r="H9" s="423">
        <v>0</v>
      </c>
      <c r="I9" s="423">
        <v>0</v>
      </c>
      <c r="J9" s="423">
        <v>0</v>
      </c>
      <c r="K9" s="423">
        <v>0</v>
      </c>
      <c r="L9" s="423">
        <v>0</v>
      </c>
      <c r="M9" s="423">
        <v>0</v>
      </c>
      <c r="N9" s="423">
        <v>0</v>
      </c>
    </row>
    <row r="10" spans="1:14" ht="15.75" thickBot="1" x14ac:dyDescent="0.3">
      <c r="A10" s="220" t="s">
        <v>354</v>
      </c>
      <c r="B10" s="221" t="s">
        <v>704</v>
      </c>
      <c r="C10" s="423">
        <v>0</v>
      </c>
      <c r="D10" s="423">
        <v>0</v>
      </c>
      <c r="E10" s="423">
        <v>0</v>
      </c>
      <c r="F10" s="423">
        <v>0</v>
      </c>
      <c r="G10" s="423">
        <v>0</v>
      </c>
      <c r="H10" s="423">
        <v>0</v>
      </c>
      <c r="I10" s="423">
        <v>0</v>
      </c>
      <c r="J10" s="423">
        <v>0</v>
      </c>
      <c r="K10" s="423">
        <v>0</v>
      </c>
      <c r="L10" s="423">
        <v>0</v>
      </c>
      <c r="M10" s="423">
        <v>0</v>
      </c>
      <c r="N10" s="423">
        <v>0</v>
      </c>
    </row>
    <row r="11" spans="1:14" ht="32.25" customHeight="1" thickBot="1" x14ac:dyDescent="0.3">
      <c r="A11" s="220" t="s">
        <v>591</v>
      </c>
      <c r="B11" s="222" t="s">
        <v>705</v>
      </c>
      <c r="C11" s="423">
        <v>0</v>
      </c>
      <c r="D11" s="423">
        <v>0</v>
      </c>
      <c r="E11" s="423">
        <v>0</v>
      </c>
      <c r="F11" s="423">
        <v>0</v>
      </c>
      <c r="G11" s="423">
        <v>0</v>
      </c>
      <c r="H11" s="423">
        <v>0</v>
      </c>
      <c r="I11" s="423">
        <v>0</v>
      </c>
      <c r="J11" s="423">
        <v>0</v>
      </c>
      <c r="K11" s="423">
        <v>0</v>
      </c>
      <c r="L11" s="423">
        <v>0</v>
      </c>
      <c r="M11" s="423">
        <v>0</v>
      </c>
      <c r="N11" s="423">
        <v>0</v>
      </c>
    </row>
    <row r="12" spans="1:14" ht="62.25" customHeight="1" thickBot="1" x14ac:dyDescent="0.3">
      <c r="A12" s="220" t="s">
        <v>593</v>
      </c>
      <c r="B12" s="223" t="s">
        <v>706</v>
      </c>
      <c r="C12" s="424">
        <v>0</v>
      </c>
      <c r="D12" s="424">
        <v>0</v>
      </c>
      <c r="E12" s="438"/>
      <c r="F12" s="424">
        <v>0</v>
      </c>
      <c r="G12" s="424">
        <v>0</v>
      </c>
      <c r="H12" s="424">
        <v>0</v>
      </c>
      <c r="I12" s="438"/>
      <c r="J12" s="438"/>
      <c r="K12" s="438"/>
      <c r="L12" s="438"/>
      <c r="M12" s="438"/>
      <c r="N12" s="438"/>
    </row>
    <row r="13" spans="1:14" ht="68.25" customHeight="1" thickBot="1" x14ac:dyDescent="0.3">
      <c r="A13" s="220" t="s">
        <v>595</v>
      </c>
      <c r="B13" s="223" t="s">
        <v>707</v>
      </c>
      <c r="C13" s="424">
        <v>0</v>
      </c>
      <c r="D13" s="424">
        <v>0</v>
      </c>
      <c r="E13" s="438"/>
      <c r="F13" s="424">
        <v>0</v>
      </c>
      <c r="G13" s="424">
        <v>0</v>
      </c>
      <c r="H13" s="424">
        <v>0</v>
      </c>
      <c r="I13" s="438"/>
      <c r="J13" s="438"/>
      <c r="K13" s="438"/>
      <c r="L13" s="438"/>
      <c r="M13" s="438"/>
      <c r="N13" s="438"/>
    </row>
    <row r="14" spans="1:14" ht="51.75" customHeight="1" thickBot="1" x14ac:dyDescent="0.3">
      <c r="A14" s="220" t="s">
        <v>597</v>
      </c>
      <c r="B14" s="223" t="s">
        <v>708</v>
      </c>
      <c r="C14" s="424">
        <v>0</v>
      </c>
      <c r="D14" s="424">
        <v>0</v>
      </c>
      <c r="E14" s="438"/>
      <c r="F14" s="424">
        <v>0</v>
      </c>
      <c r="G14" s="424">
        <v>0</v>
      </c>
      <c r="H14" s="424">
        <v>0</v>
      </c>
      <c r="I14" s="438"/>
      <c r="J14" s="438"/>
      <c r="K14" s="438"/>
      <c r="L14" s="438"/>
      <c r="M14" s="438"/>
      <c r="N14" s="438"/>
    </row>
    <row r="15" spans="1:14" ht="35.25" customHeight="1" thickBot="1" x14ac:dyDescent="0.3">
      <c r="A15" s="224" t="s">
        <v>599</v>
      </c>
      <c r="B15" s="200" t="s">
        <v>709</v>
      </c>
      <c r="C15" s="423">
        <v>0</v>
      </c>
      <c r="D15" s="423">
        <v>0</v>
      </c>
      <c r="E15" s="423">
        <v>0</v>
      </c>
      <c r="F15" s="423">
        <v>0</v>
      </c>
      <c r="G15" s="423">
        <v>0</v>
      </c>
      <c r="H15" s="423">
        <v>0</v>
      </c>
      <c r="I15" s="423">
        <v>0</v>
      </c>
      <c r="J15" s="423">
        <v>0</v>
      </c>
      <c r="K15" s="423">
        <v>0</v>
      </c>
      <c r="L15" s="423">
        <v>0</v>
      </c>
      <c r="M15" s="423">
        <v>0</v>
      </c>
      <c r="N15" s="423">
        <v>0</v>
      </c>
    </row>
    <row r="16" spans="1:14" ht="15.75" thickBot="1" x14ac:dyDescent="0.3">
      <c r="A16" s="224" t="s">
        <v>601</v>
      </c>
      <c r="B16" s="200" t="s">
        <v>710</v>
      </c>
      <c r="C16" s="439"/>
      <c r="D16" s="439"/>
      <c r="E16" s="439"/>
      <c r="F16" s="439"/>
      <c r="G16" s="439"/>
      <c r="H16" s="439"/>
      <c r="I16" s="439"/>
      <c r="J16" s="439"/>
      <c r="K16" s="439"/>
      <c r="L16" s="439"/>
      <c r="M16" s="439"/>
      <c r="N16" s="439"/>
    </row>
    <row r="17" spans="1:14" ht="31.5" customHeight="1" thickBot="1" x14ac:dyDescent="0.3">
      <c r="A17" s="220" t="s">
        <v>603</v>
      </c>
      <c r="B17" s="221" t="s">
        <v>711</v>
      </c>
      <c r="C17" s="423">
        <v>0</v>
      </c>
      <c r="D17" s="423">
        <v>0</v>
      </c>
      <c r="E17" s="423">
        <v>0</v>
      </c>
      <c r="F17" s="423">
        <v>0</v>
      </c>
      <c r="G17" s="423">
        <v>0</v>
      </c>
      <c r="H17" s="423">
        <v>0</v>
      </c>
      <c r="I17" s="423">
        <v>0</v>
      </c>
      <c r="J17" s="423">
        <v>0</v>
      </c>
      <c r="K17" s="423">
        <v>0</v>
      </c>
      <c r="L17" s="423">
        <v>0</v>
      </c>
      <c r="M17" s="423">
        <v>0</v>
      </c>
      <c r="N17" s="423">
        <v>0</v>
      </c>
    </row>
    <row r="18" spans="1:14" ht="30.75" customHeight="1" thickBot="1" x14ac:dyDescent="0.3">
      <c r="A18" s="220" t="s">
        <v>605</v>
      </c>
      <c r="B18" s="222" t="s">
        <v>712</v>
      </c>
      <c r="C18" s="423">
        <v>0</v>
      </c>
      <c r="D18" s="423">
        <v>0</v>
      </c>
      <c r="E18" s="423">
        <v>0</v>
      </c>
      <c r="F18" s="423">
        <v>0</v>
      </c>
      <c r="G18" s="423">
        <v>0</v>
      </c>
      <c r="H18" s="423">
        <v>0</v>
      </c>
      <c r="I18" s="423">
        <v>0</v>
      </c>
      <c r="J18" s="423">
        <v>0</v>
      </c>
      <c r="K18" s="423">
        <v>0</v>
      </c>
      <c r="L18" s="423">
        <v>0</v>
      </c>
      <c r="M18" s="423">
        <v>0</v>
      </c>
      <c r="N18" s="423">
        <v>0</v>
      </c>
    </row>
    <row r="19" spans="1:14" ht="31.5" customHeight="1" thickBot="1" x14ac:dyDescent="0.3">
      <c r="A19" s="220" t="s">
        <v>606</v>
      </c>
      <c r="B19" s="221" t="s">
        <v>713</v>
      </c>
      <c r="C19" s="423">
        <v>0</v>
      </c>
      <c r="D19" s="423">
        <v>0</v>
      </c>
      <c r="E19" s="423">
        <v>0</v>
      </c>
      <c r="F19" s="423">
        <v>0</v>
      </c>
      <c r="G19" s="423">
        <v>0</v>
      </c>
      <c r="H19" s="423">
        <v>0</v>
      </c>
      <c r="I19" s="423">
        <v>0</v>
      </c>
      <c r="J19" s="423">
        <v>0</v>
      </c>
      <c r="K19" s="423">
        <v>0</v>
      </c>
      <c r="L19" s="423">
        <v>0</v>
      </c>
      <c r="M19" s="423">
        <v>0</v>
      </c>
      <c r="N19" s="423">
        <v>0</v>
      </c>
    </row>
    <row r="20" spans="1:14" ht="29.25" customHeight="1" thickBot="1" x14ac:dyDescent="0.3">
      <c r="A20" s="220" t="s">
        <v>607</v>
      </c>
      <c r="B20" s="222" t="s">
        <v>712</v>
      </c>
      <c r="C20" s="423">
        <v>0</v>
      </c>
      <c r="D20" s="423">
        <v>0</v>
      </c>
      <c r="E20" s="423">
        <v>0</v>
      </c>
      <c r="F20" s="423">
        <v>0</v>
      </c>
      <c r="G20" s="423">
        <v>0</v>
      </c>
      <c r="H20" s="423">
        <v>0</v>
      </c>
      <c r="I20" s="423">
        <v>0</v>
      </c>
      <c r="J20" s="423">
        <v>0</v>
      </c>
      <c r="K20" s="423">
        <v>0</v>
      </c>
      <c r="L20" s="423">
        <v>0</v>
      </c>
      <c r="M20" s="423">
        <v>0</v>
      </c>
      <c r="N20" s="423">
        <v>0</v>
      </c>
    </row>
    <row r="21" spans="1:14" ht="15.75" thickBot="1" x14ac:dyDescent="0.3">
      <c r="A21" s="224" t="s">
        <v>608</v>
      </c>
      <c r="B21" s="200" t="s">
        <v>714</v>
      </c>
      <c r="C21" s="423">
        <v>0</v>
      </c>
      <c r="D21" s="423">
        <v>0</v>
      </c>
      <c r="E21" s="423">
        <v>0</v>
      </c>
      <c r="F21" s="423">
        <v>0</v>
      </c>
      <c r="G21" s="423">
        <v>0</v>
      </c>
      <c r="H21" s="423">
        <v>0</v>
      </c>
      <c r="I21" s="423">
        <v>0</v>
      </c>
      <c r="J21" s="423">
        <v>0</v>
      </c>
      <c r="K21" s="423">
        <v>0</v>
      </c>
      <c r="L21" s="423">
        <v>0</v>
      </c>
      <c r="M21" s="423">
        <v>0</v>
      </c>
      <c r="N21" s="423">
        <v>0</v>
      </c>
    </row>
    <row r="22" spans="1:14" ht="21.75" thickBot="1" x14ac:dyDescent="0.3">
      <c r="A22" s="224" t="s">
        <v>609</v>
      </c>
      <c r="B22" s="200" t="s">
        <v>579</v>
      </c>
      <c r="C22" s="423">
        <v>0</v>
      </c>
      <c r="D22" s="423">
        <v>0</v>
      </c>
      <c r="E22" s="423">
        <v>0</v>
      </c>
      <c r="F22" s="423">
        <v>0</v>
      </c>
      <c r="G22" s="423">
        <v>0</v>
      </c>
      <c r="H22" s="423">
        <v>0</v>
      </c>
      <c r="I22" s="423">
        <v>0</v>
      </c>
      <c r="J22" s="423">
        <v>0</v>
      </c>
      <c r="K22" s="423">
        <v>0</v>
      </c>
      <c r="L22" s="423">
        <v>0</v>
      </c>
      <c r="M22" s="423">
        <v>0</v>
      </c>
      <c r="N22" s="423">
        <v>0</v>
      </c>
    </row>
  </sheetData>
  <mergeCells count="2">
    <mergeCell ref="G7:G8"/>
    <mergeCell ref="H7:N7"/>
  </mergeCells>
  <hyperlinks>
    <hyperlink ref="A2" location="Indhold!B74" display="Skema EU CQ6: Værdiansættelse af sikkerhedsstillelse - lån og forskud " xr:uid="{4206B6D0-6827-4A6C-9B84-68DDCD46441E}"/>
  </hyperlinks>
  <pageMargins left="0.70866141732283472" right="0.70866141732283472" top="0.74803149606299213" bottom="0.74803149606299213" header="0.31496062992125984" footer="0.31496062992125984"/>
  <pageSetup paperSize="9" scale="75" orientation="landscape" r:id="rId1"/>
  <headerFooter>
    <oddHeader>&amp;CDA
Bilag XV</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0161-E6FA-4FDD-A40F-F7258D9C13ED}">
  <sheetPr>
    <tabColor rgb="FFFF0000"/>
    <pageSetUpPr fitToPage="1"/>
  </sheetPr>
  <dimension ref="A1:X14"/>
  <sheetViews>
    <sheetView showGridLines="0" zoomScaleNormal="100" zoomScalePageLayoutView="90" workbookViewId="0"/>
  </sheetViews>
  <sheetFormatPr defaultRowHeight="15" x14ac:dyDescent="0.25"/>
  <cols>
    <col min="2" max="2" width="15.85546875" customWidth="1"/>
  </cols>
  <sheetData>
    <row r="1" spans="1:24" x14ac:dyDescent="0.25">
      <c r="A1" s="878" t="s">
        <v>726</v>
      </c>
    </row>
    <row r="2" spans="1:24" ht="16.5" thickBot="1" x14ac:dyDescent="0.3">
      <c r="A2" s="227"/>
      <c r="B2" s="227"/>
      <c r="C2" s="226"/>
      <c r="D2" s="1182"/>
      <c r="E2" s="1182"/>
      <c r="F2" s="1182"/>
      <c r="G2" s="226"/>
      <c r="H2" s="1182"/>
      <c r="I2" s="1182"/>
      <c r="J2" s="1182"/>
      <c r="K2" s="226"/>
      <c r="L2" s="1182"/>
      <c r="M2" s="1182"/>
      <c r="N2" s="1182"/>
      <c r="O2" s="1182"/>
      <c r="P2" s="1182"/>
      <c r="Q2" s="1182"/>
      <c r="R2" s="1182"/>
      <c r="S2" s="226"/>
      <c r="T2" s="1182"/>
      <c r="U2" s="1182"/>
      <c r="V2" s="226"/>
      <c r="W2" s="1182"/>
      <c r="X2" s="1182"/>
    </row>
    <row r="3" spans="1:24" ht="15.75" thickBot="1" x14ac:dyDescent="0.3">
      <c r="A3" s="227"/>
      <c r="B3" s="227"/>
      <c r="C3" s="1210" t="s">
        <v>105</v>
      </c>
      <c r="D3" s="1211"/>
      <c r="E3" s="228" t="s">
        <v>104</v>
      </c>
      <c r="F3" s="1210" t="s">
        <v>99</v>
      </c>
      <c r="G3" s="1212"/>
      <c r="H3" s="1211"/>
      <c r="I3" s="228" t="s">
        <v>98</v>
      </c>
      <c r="J3" s="1210" t="s">
        <v>97</v>
      </c>
      <c r="K3" s="1211"/>
      <c r="L3" s="1210" t="s">
        <v>113</v>
      </c>
      <c r="M3" s="1211"/>
      <c r="N3" s="1210" t="s">
        <v>114</v>
      </c>
      <c r="O3" s="1212"/>
      <c r="P3" s="1211"/>
      <c r="Q3" s="229" t="s">
        <v>169</v>
      </c>
      <c r="R3" s="1210" t="s">
        <v>328</v>
      </c>
      <c r="S3" s="1211"/>
      <c r="T3" s="229" t="s">
        <v>329</v>
      </c>
      <c r="U3" s="1210" t="s">
        <v>330</v>
      </c>
      <c r="V3" s="1211"/>
      <c r="W3" s="1210" t="s">
        <v>331</v>
      </c>
      <c r="X3" s="1211"/>
    </row>
    <row r="4" spans="1:24" ht="15.75" thickBot="1" x14ac:dyDescent="0.3">
      <c r="A4" s="230"/>
      <c r="B4" s="230"/>
      <c r="C4" s="1218" t="s">
        <v>727</v>
      </c>
      <c r="D4" s="1219"/>
      <c r="E4" s="1220"/>
      <c r="F4" s="1224" t="s">
        <v>728</v>
      </c>
      <c r="G4" s="1225"/>
      <c r="H4" s="1225"/>
      <c r="I4" s="1225"/>
      <c r="J4" s="1225"/>
      <c r="K4" s="1225"/>
      <c r="L4" s="1225"/>
      <c r="M4" s="1225"/>
      <c r="N4" s="1226"/>
      <c r="O4" s="1226"/>
      <c r="P4" s="1226"/>
      <c r="Q4" s="231"/>
      <c r="R4" s="1226"/>
      <c r="S4" s="1226"/>
      <c r="T4" s="231"/>
      <c r="U4" s="1226"/>
      <c r="V4" s="1226"/>
      <c r="W4" s="1226"/>
      <c r="X4" s="1227"/>
    </row>
    <row r="5" spans="1:24" ht="15.75" thickBot="1" x14ac:dyDescent="0.3">
      <c r="A5" s="230"/>
      <c r="B5" s="232"/>
      <c r="C5" s="1221"/>
      <c r="D5" s="1222"/>
      <c r="E5" s="1223"/>
      <c r="F5" s="1228"/>
      <c r="G5" s="1229"/>
      <c r="H5" s="1229"/>
      <c r="I5" s="1230"/>
      <c r="J5" s="1213" t="s">
        <v>729</v>
      </c>
      <c r="K5" s="1214"/>
      <c r="L5" s="1214"/>
      <c r="M5" s="1215"/>
      <c r="N5" s="1216" t="s">
        <v>730</v>
      </c>
      <c r="O5" s="1214"/>
      <c r="P5" s="1214"/>
      <c r="Q5" s="1215"/>
      <c r="R5" s="1216" t="s">
        <v>731</v>
      </c>
      <c r="S5" s="1214"/>
      <c r="T5" s="1215"/>
      <c r="U5" s="1216" t="s">
        <v>732</v>
      </c>
      <c r="V5" s="1214"/>
      <c r="W5" s="1214"/>
      <c r="X5" s="1215"/>
    </row>
    <row r="6" spans="1:24" ht="30" thickBot="1" x14ac:dyDescent="0.3">
      <c r="A6" s="230"/>
      <c r="B6" s="233"/>
      <c r="C6" s="1213" t="s">
        <v>676</v>
      </c>
      <c r="D6" s="1217"/>
      <c r="E6" s="234" t="s">
        <v>718</v>
      </c>
      <c r="F6" s="1213" t="s">
        <v>717</v>
      </c>
      <c r="G6" s="1217"/>
      <c r="H6" s="1213" t="s">
        <v>718</v>
      </c>
      <c r="I6" s="1217"/>
      <c r="J6" s="1213" t="s">
        <v>717</v>
      </c>
      <c r="K6" s="1214"/>
      <c r="L6" s="1217"/>
      <c r="M6" s="235" t="s">
        <v>718</v>
      </c>
      <c r="N6" s="1213" t="s">
        <v>717</v>
      </c>
      <c r="O6" s="1217"/>
      <c r="P6" s="1213" t="s">
        <v>718</v>
      </c>
      <c r="Q6" s="1217"/>
      <c r="R6" s="1213" t="s">
        <v>717</v>
      </c>
      <c r="S6" s="1217"/>
      <c r="T6" s="235" t="s">
        <v>718</v>
      </c>
      <c r="U6" s="1213" t="s">
        <v>717</v>
      </c>
      <c r="V6" s="1214"/>
      <c r="W6" s="1217"/>
      <c r="X6" s="228" t="s">
        <v>718</v>
      </c>
    </row>
    <row r="7" spans="1:24" ht="59.25" thickBot="1" x14ac:dyDescent="0.3">
      <c r="A7" s="236" t="s">
        <v>348</v>
      </c>
      <c r="B7" s="233" t="s">
        <v>733</v>
      </c>
      <c r="C7" s="1234">
        <v>0</v>
      </c>
      <c r="D7" s="1235"/>
      <c r="E7" s="440">
        <v>0</v>
      </c>
      <c r="F7" s="1234">
        <v>0</v>
      </c>
      <c r="G7" s="1235"/>
      <c r="H7" s="1234">
        <v>0</v>
      </c>
      <c r="I7" s="1235"/>
      <c r="J7" s="1231"/>
      <c r="K7" s="1233"/>
      <c r="L7" s="1232"/>
      <c r="M7" s="441"/>
      <c r="N7" s="1231"/>
      <c r="O7" s="1232"/>
      <c r="P7" s="1231"/>
      <c r="Q7" s="1232"/>
      <c r="R7" s="1231"/>
      <c r="S7" s="1232"/>
      <c r="T7" s="441"/>
      <c r="U7" s="1231"/>
      <c r="V7" s="1233"/>
      <c r="W7" s="1232"/>
      <c r="X7" s="442"/>
    </row>
    <row r="8" spans="1:24" ht="59.25" thickBot="1" x14ac:dyDescent="0.3">
      <c r="A8" s="237" t="s">
        <v>354</v>
      </c>
      <c r="B8" s="233" t="s">
        <v>734</v>
      </c>
      <c r="C8" s="1234">
        <v>0</v>
      </c>
      <c r="D8" s="1235"/>
      <c r="E8" s="440">
        <v>0</v>
      </c>
      <c r="F8" s="1234">
        <v>0</v>
      </c>
      <c r="G8" s="1235"/>
      <c r="H8" s="1234">
        <v>0</v>
      </c>
      <c r="I8" s="1235"/>
      <c r="J8" s="1234">
        <v>0</v>
      </c>
      <c r="K8" s="1236"/>
      <c r="L8" s="1235"/>
      <c r="M8" s="440">
        <v>0</v>
      </c>
      <c r="N8" s="1234">
        <v>0</v>
      </c>
      <c r="O8" s="1235"/>
      <c r="P8" s="1234">
        <v>0</v>
      </c>
      <c r="Q8" s="1235"/>
      <c r="R8" s="1234">
        <v>0</v>
      </c>
      <c r="S8" s="1235"/>
      <c r="T8" s="440">
        <v>0</v>
      </c>
      <c r="U8" s="1234">
        <v>0</v>
      </c>
      <c r="V8" s="1236"/>
      <c r="W8" s="1235"/>
      <c r="X8" s="440">
        <v>0</v>
      </c>
    </row>
    <row r="9" spans="1:24" ht="20.25" thickBot="1" x14ac:dyDescent="0.3">
      <c r="A9" s="238" t="s">
        <v>591</v>
      </c>
      <c r="B9" s="239" t="s">
        <v>721</v>
      </c>
      <c r="C9" s="1234">
        <v>0</v>
      </c>
      <c r="D9" s="1235"/>
      <c r="E9" s="440">
        <v>0</v>
      </c>
      <c r="F9" s="1234">
        <v>0</v>
      </c>
      <c r="G9" s="1235"/>
      <c r="H9" s="1234">
        <v>0</v>
      </c>
      <c r="I9" s="1235"/>
      <c r="J9" s="1234">
        <v>0</v>
      </c>
      <c r="K9" s="1236"/>
      <c r="L9" s="1235"/>
      <c r="M9" s="440">
        <v>0</v>
      </c>
      <c r="N9" s="1234">
        <v>0</v>
      </c>
      <c r="O9" s="1235"/>
      <c r="P9" s="1234">
        <v>0</v>
      </c>
      <c r="Q9" s="1235"/>
      <c r="R9" s="1234">
        <v>0</v>
      </c>
      <c r="S9" s="1235"/>
      <c r="T9" s="440">
        <v>0</v>
      </c>
      <c r="U9" s="1234">
        <v>0</v>
      </c>
      <c r="V9" s="1236"/>
      <c r="W9" s="1235"/>
      <c r="X9" s="440">
        <v>0</v>
      </c>
    </row>
    <row r="10" spans="1:24" ht="20.25" thickBot="1" x14ac:dyDescent="0.3">
      <c r="A10" s="238" t="s">
        <v>593</v>
      </c>
      <c r="B10" s="239" t="s">
        <v>722</v>
      </c>
      <c r="C10" s="1234">
        <v>0</v>
      </c>
      <c r="D10" s="1235"/>
      <c r="E10" s="440">
        <v>0</v>
      </c>
      <c r="F10" s="1234">
        <v>0</v>
      </c>
      <c r="G10" s="1235"/>
      <c r="H10" s="1234">
        <v>0</v>
      </c>
      <c r="I10" s="1235"/>
      <c r="J10" s="1234">
        <v>0</v>
      </c>
      <c r="K10" s="1236"/>
      <c r="L10" s="1235"/>
      <c r="M10" s="440">
        <v>0</v>
      </c>
      <c r="N10" s="1234">
        <v>0</v>
      </c>
      <c r="O10" s="1235"/>
      <c r="P10" s="1234">
        <v>0</v>
      </c>
      <c r="Q10" s="1235"/>
      <c r="R10" s="1234">
        <v>0</v>
      </c>
      <c r="S10" s="1235"/>
      <c r="T10" s="440">
        <v>0</v>
      </c>
      <c r="U10" s="1234">
        <v>0</v>
      </c>
      <c r="V10" s="1236"/>
      <c r="W10" s="1235"/>
      <c r="X10" s="440">
        <v>0</v>
      </c>
    </row>
    <row r="11" spans="1:24" ht="20.25" thickBot="1" x14ac:dyDescent="0.3">
      <c r="A11" s="238" t="s">
        <v>595</v>
      </c>
      <c r="B11" s="239" t="s">
        <v>723</v>
      </c>
      <c r="C11" s="1234">
        <v>0</v>
      </c>
      <c r="D11" s="1235"/>
      <c r="E11" s="440">
        <v>0</v>
      </c>
      <c r="F11" s="1234">
        <v>0</v>
      </c>
      <c r="G11" s="1235"/>
      <c r="H11" s="1234">
        <v>0</v>
      </c>
      <c r="I11" s="1235"/>
      <c r="J11" s="1234">
        <v>0</v>
      </c>
      <c r="K11" s="1236"/>
      <c r="L11" s="1235"/>
      <c r="M11" s="440">
        <v>0</v>
      </c>
      <c r="N11" s="1234">
        <v>0</v>
      </c>
      <c r="O11" s="1235"/>
      <c r="P11" s="1234">
        <v>0</v>
      </c>
      <c r="Q11" s="1235"/>
      <c r="R11" s="1234">
        <v>0</v>
      </c>
      <c r="S11" s="1235"/>
      <c r="T11" s="440">
        <v>0</v>
      </c>
      <c r="U11" s="1234">
        <v>0</v>
      </c>
      <c r="V11" s="1236"/>
      <c r="W11" s="1235"/>
      <c r="X11" s="440">
        <v>0</v>
      </c>
    </row>
    <row r="12" spans="1:24" ht="30" thickBot="1" x14ac:dyDescent="0.3">
      <c r="A12" s="238" t="s">
        <v>597</v>
      </c>
      <c r="B12" s="239" t="s">
        <v>724</v>
      </c>
      <c r="C12" s="1234">
        <v>0</v>
      </c>
      <c r="D12" s="1235"/>
      <c r="E12" s="440">
        <v>0</v>
      </c>
      <c r="F12" s="1234">
        <v>0</v>
      </c>
      <c r="G12" s="1235"/>
      <c r="H12" s="1234">
        <v>0</v>
      </c>
      <c r="I12" s="1235"/>
      <c r="J12" s="1234">
        <v>0</v>
      </c>
      <c r="K12" s="1236"/>
      <c r="L12" s="1235"/>
      <c r="M12" s="440">
        <v>0</v>
      </c>
      <c r="N12" s="1234">
        <v>0</v>
      </c>
      <c r="O12" s="1235"/>
      <c r="P12" s="1234">
        <v>0</v>
      </c>
      <c r="Q12" s="1235"/>
      <c r="R12" s="1234">
        <v>0</v>
      </c>
      <c r="S12" s="1235"/>
      <c r="T12" s="440">
        <v>0</v>
      </c>
      <c r="U12" s="1234">
        <v>0</v>
      </c>
      <c r="V12" s="1236"/>
      <c r="W12" s="1235"/>
      <c r="X12" s="440">
        <v>0</v>
      </c>
    </row>
    <row r="13" spans="1:24" ht="30" thickBot="1" x14ac:dyDescent="0.3">
      <c r="A13" s="238" t="s">
        <v>599</v>
      </c>
      <c r="B13" s="239" t="s">
        <v>725</v>
      </c>
      <c r="C13" s="1234">
        <v>0</v>
      </c>
      <c r="D13" s="1235"/>
      <c r="E13" s="440">
        <v>0</v>
      </c>
      <c r="F13" s="1234">
        <v>0</v>
      </c>
      <c r="G13" s="1235"/>
      <c r="H13" s="1234">
        <v>0</v>
      </c>
      <c r="I13" s="1235"/>
      <c r="J13" s="1234">
        <v>0</v>
      </c>
      <c r="K13" s="1236"/>
      <c r="L13" s="1235"/>
      <c r="M13" s="440">
        <v>0</v>
      </c>
      <c r="N13" s="1234">
        <v>0</v>
      </c>
      <c r="O13" s="1235"/>
      <c r="P13" s="1234">
        <v>0</v>
      </c>
      <c r="Q13" s="1235"/>
      <c r="R13" s="1234">
        <v>0</v>
      </c>
      <c r="S13" s="1235"/>
      <c r="T13" s="440">
        <v>0</v>
      </c>
      <c r="U13" s="1234">
        <v>0</v>
      </c>
      <c r="V13" s="1236"/>
      <c r="W13" s="1235"/>
      <c r="X13" s="440">
        <v>0</v>
      </c>
    </row>
    <row r="14" spans="1:24" ht="15.75" thickBot="1" x14ac:dyDescent="0.3">
      <c r="A14" s="240" t="s">
        <v>601</v>
      </c>
      <c r="B14" s="241" t="s">
        <v>0</v>
      </c>
      <c r="C14" s="1234">
        <v>0</v>
      </c>
      <c r="D14" s="1235"/>
      <c r="E14" s="440">
        <v>0</v>
      </c>
      <c r="F14" s="1234">
        <v>0</v>
      </c>
      <c r="G14" s="1235"/>
      <c r="H14" s="1234">
        <v>0</v>
      </c>
      <c r="I14" s="1235"/>
      <c r="J14" s="1234">
        <v>0</v>
      </c>
      <c r="K14" s="1236"/>
      <c r="L14" s="1235"/>
      <c r="M14" s="440">
        <v>0</v>
      </c>
      <c r="N14" s="1234">
        <v>0</v>
      </c>
      <c r="O14" s="1235"/>
      <c r="P14" s="1234">
        <v>0</v>
      </c>
      <c r="Q14" s="1235"/>
      <c r="R14" s="1234">
        <v>0</v>
      </c>
      <c r="S14" s="1235"/>
      <c r="T14" s="440">
        <v>0</v>
      </c>
      <c r="U14" s="1234">
        <v>0</v>
      </c>
      <c r="V14" s="1236"/>
      <c r="W14" s="1235"/>
      <c r="X14" s="440">
        <v>0</v>
      </c>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hyperlinks>
    <hyperlink ref="A1" location="Indhold!B75" display="Skema EU CQ8: Sikkerhedsstillelse opnået gennem overtagelse og fuldbyrdelsesprocesser – opdeling efter årgang" xr:uid="{51624722-4A52-4BC2-B00F-4537E8C605D1}"/>
  </hyperlinks>
  <pageMargins left="0.70866141732283472" right="0.70866141732283472" top="0.74803149606299213" bottom="0.74803149606299213" header="0.31496062992125984" footer="0.31496062992125984"/>
  <pageSetup paperSize="9" scale="57" orientation="landscape" r:id="rId1"/>
  <headerFooter>
    <oddHeader>&amp;CDA
Bilag XV</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936B-B16F-41E3-BC8D-7BB8E44F1511}">
  <sheetPr>
    <tabColor rgb="FFFF0000"/>
    <pageSetUpPr fitToPage="1"/>
  </sheetPr>
  <dimension ref="A1:N50"/>
  <sheetViews>
    <sheetView showGridLines="0" zoomScaleNormal="100"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x14ac:dyDescent="0.25">
      <c r="A1" s="878" t="s">
        <v>771</v>
      </c>
      <c r="M1" s="90"/>
    </row>
    <row r="3" spans="1:14" x14ac:dyDescent="0.25">
      <c r="A3" s="14"/>
    </row>
    <row r="4" spans="1:14" ht="120" x14ac:dyDescent="0.25">
      <c r="A4" s="1239" t="s">
        <v>772</v>
      </c>
      <c r="B4" s="245" t="s">
        <v>773</v>
      </c>
      <c r="C4" s="245" t="s">
        <v>668</v>
      </c>
      <c r="D4" s="245" t="s">
        <v>1272</v>
      </c>
      <c r="E4" s="6" t="s">
        <v>1273</v>
      </c>
      <c r="F4" s="6" t="s">
        <v>1274</v>
      </c>
      <c r="G4" s="6" t="s">
        <v>1275</v>
      </c>
      <c r="H4" s="6" t="s">
        <v>777</v>
      </c>
      <c r="I4" s="6" t="s">
        <v>1276</v>
      </c>
      <c r="J4" s="6" t="s">
        <v>1277</v>
      </c>
      <c r="K4" s="245" t="s">
        <v>780</v>
      </c>
      <c r="L4" s="245" t="s">
        <v>781</v>
      </c>
      <c r="M4" s="245" t="s">
        <v>782</v>
      </c>
      <c r="N4" s="245" t="s">
        <v>1278</v>
      </c>
    </row>
    <row r="5" spans="1:14" x14ac:dyDescent="0.25">
      <c r="A5" s="1240"/>
      <c r="B5" s="46" t="s">
        <v>105</v>
      </c>
      <c r="C5" s="46" t="s">
        <v>104</v>
      </c>
      <c r="D5" s="46" t="s">
        <v>99</v>
      </c>
      <c r="E5" s="46" t="s">
        <v>98</v>
      </c>
      <c r="F5" s="46" t="s">
        <v>97</v>
      </c>
      <c r="G5" s="46" t="s">
        <v>113</v>
      </c>
      <c r="H5" s="46" t="s">
        <v>114</v>
      </c>
      <c r="I5" s="46" t="s">
        <v>169</v>
      </c>
      <c r="J5" s="46" t="s">
        <v>328</v>
      </c>
      <c r="K5" s="46" t="s">
        <v>329</v>
      </c>
      <c r="L5" s="46" t="s">
        <v>330</v>
      </c>
      <c r="M5" s="46" t="s">
        <v>331</v>
      </c>
      <c r="N5" s="46" t="s">
        <v>332</v>
      </c>
    </row>
    <row r="6" spans="1:14" ht="30" x14ac:dyDescent="0.25">
      <c r="A6" s="253" t="s">
        <v>784</v>
      </c>
      <c r="B6" s="254"/>
      <c r="C6" s="255"/>
      <c r="D6" s="256"/>
      <c r="E6" s="256"/>
      <c r="F6" s="256"/>
      <c r="G6" s="256"/>
      <c r="H6" s="256"/>
      <c r="I6" s="256"/>
      <c r="J6" s="256"/>
      <c r="K6" s="256"/>
      <c r="L6" s="256"/>
      <c r="M6" s="256"/>
      <c r="N6" s="256"/>
    </row>
    <row r="7" spans="1:14" x14ac:dyDescent="0.25">
      <c r="A7" s="257"/>
      <c r="B7" s="258" t="s">
        <v>785</v>
      </c>
      <c r="C7" s="255"/>
      <c r="D7" s="256"/>
      <c r="E7" s="256"/>
      <c r="F7" s="256"/>
      <c r="G7" s="256"/>
      <c r="H7" s="256"/>
      <c r="I7" s="256"/>
      <c r="J7" s="256"/>
      <c r="K7" s="256"/>
      <c r="L7" s="256"/>
      <c r="M7" s="256"/>
      <c r="N7" s="256"/>
    </row>
    <row r="8" spans="1:14" x14ac:dyDescent="0.25">
      <c r="A8" s="259"/>
      <c r="B8" s="260" t="s">
        <v>786</v>
      </c>
      <c r="C8" s="255"/>
      <c r="D8" s="256"/>
      <c r="E8" s="256"/>
      <c r="F8" s="256"/>
      <c r="G8" s="256"/>
      <c r="H8" s="256"/>
      <c r="I8" s="256"/>
      <c r="J8" s="256"/>
      <c r="K8" s="256"/>
      <c r="L8" s="256"/>
      <c r="M8" s="256"/>
      <c r="N8" s="256"/>
    </row>
    <row r="9" spans="1:14" x14ac:dyDescent="0.25">
      <c r="A9" s="259"/>
      <c r="B9" s="260" t="s">
        <v>787</v>
      </c>
      <c r="C9" s="255"/>
      <c r="D9" s="256"/>
      <c r="E9" s="256"/>
      <c r="F9" s="256"/>
      <c r="G9" s="256"/>
      <c r="H9" s="256"/>
      <c r="I9" s="256"/>
      <c r="J9" s="256"/>
      <c r="K9" s="256"/>
      <c r="L9" s="256"/>
      <c r="M9" s="256"/>
      <c r="N9" s="256"/>
    </row>
    <row r="10" spans="1:14" x14ac:dyDescent="0.25">
      <c r="A10" s="259"/>
      <c r="B10" s="258" t="s">
        <v>788</v>
      </c>
      <c r="C10" s="255"/>
      <c r="D10" s="256"/>
      <c r="E10" s="256"/>
      <c r="F10" s="256"/>
      <c r="G10" s="256"/>
      <c r="H10" s="256"/>
      <c r="I10" s="256"/>
      <c r="J10" s="256"/>
      <c r="K10" s="256"/>
      <c r="L10" s="256"/>
      <c r="M10" s="256"/>
      <c r="N10" s="256"/>
    </row>
    <row r="11" spans="1:14" x14ac:dyDescent="0.25">
      <c r="A11" s="259"/>
      <c r="B11" s="258" t="s">
        <v>789</v>
      </c>
      <c r="C11" s="255"/>
      <c r="D11" s="256"/>
      <c r="E11" s="256"/>
      <c r="F11" s="256"/>
      <c r="G11" s="256"/>
      <c r="H11" s="256"/>
      <c r="I11" s="256"/>
      <c r="J11" s="256"/>
      <c r="K11" s="256"/>
      <c r="L11" s="256"/>
      <c r="M11" s="256"/>
      <c r="N11" s="256"/>
    </row>
    <row r="12" spans="1:14" x14ac:dyDescent="0.25">
      <c r="A12" s="259"/>
      <c r="B12" s="258" t="s">
        <v>790</v>
      </c>
      <c r="C12" s="255"/>
      <c r="D12" s="256"/>
      <c r="E12" s="256"/>
      <c r="F12" s="256"/>
      <c r="G12" s="256"/>
      <c r="H12" s="256"/>
      <c r="I12" s="256"/>
      <c r="J12" s="256"/>
      <c r="K12" s="256"/>
      <c r="L12" s="256"/>
      <c r="M12" s="256"/>
      <c r="N12" s="256"/>
    </row>
    <row r="13" spans="1:14" x14ac:dyDescent="0.25">
      <c r="A13" s="259"/>
      <c r="B13" s="258" t="s">
        <v>791</v>
      </c>
      <c r="C13" s="255"/>
      <c r="D13" s="256"/>
      <c r="E13" s="256"/>
      <c r="F13" s="256"/>
      <c r="G13" s="256"/>
      <c r="H13" s="256"/>
      <c r="I13" s="256"/>
      <c r="J13" s="256"/>
      <c r="K13" s="256"/>
      <c r="L13" s="256"/>
      <c r="M13" s="256"/>
      <c r="N13" s="256"/>
    </row>
    <row r="14" spans="1:14" x14ac:dyDescent="0.25">
      <c r="A14" s="259"/>
      <c r="B14" s="260" t="s">
        <v>792</v>
      </c>
      <c r="C14" s="255"/>
      <c r="D14" s="256"/>
      <c r="E14" s="256"/>
      <c r="F14" s="256"/>
      <c r="G14" s="256"/>
      <c r="H14" s="256"/>
      <c r="I14" s="256"/>
      <c r="J14" s="256"/>
      <c r="K14" s="256"/>
      <c r="L14" s="256"/>
      <c r="M14" s="256"/>
      <c r="N14" s="256"/>
    </row>
    <row r="15" spans="1:14" x14ac:dyDescent="0.25">
      <c r="A15" s="259"/>
      <c r="B15" s="260" t="s">
        <v>793</v>
      </c>
      <c r="C15" s="255"/>
      <c r="D15" s="256"/>
      <c r="E15" s="256"/>
      <c r="F15" s="256"/>
      <c r="G15" s="256"/>
      <c r="H15" s="256"/>
      <c r="I15" s="256"/>
      <c r="J15" s="256"/>
      <c r="K15" s="256"/>
      <c r="L15" s="256"/>
      <c r="M15" s="256"/>
      <c r="N15" s="256"/>
    </row>
    <row r="16" spans="1:14" x14ac:dyDescent="0.25">
      <c r="A16" s="259"/>
      <c r="B16" s="258" t="s">
        <v>794</v>
      </c>
      <c r="C16" s="255"/>
      <c r="D16" s="256"/>
      <c r="E16" s="256"/>
      <c r="F16" s="256"/>
      <c r="G16" s="256"/>
      <c r="H16" s="256"/>
      <c r="I16" s="256"/>
      <c r="J16" s="256"/>
      <c r="K16" s="256"/>
      <c r="L16" s="256"/>
      <c r="M16" s="256"/>
      <c r="N16" s="256"/>
    </row>
    <row r="17" spans="1:14" x14ac:dyDescent="0.25">
      <c r="A17" s="259"/>
      <c r="B17" s="260" t="s">
        <v>795</v>
      </c>
      <c r="C17" s="255"/>
      <c r="D17" s="256"/>
      <c r="E17" s="256"/>
      <c r="F17" s="256"/>
      <c r="G17" s="256"/>
      <c r="H17" s="256"/>
      <c r="I17" s="256"/>
      <c r="J17" s="256"/>
      <c r="K17" s="256"/>
      <c r="L17" s="256"/>
      <c r="M17" s="256"/>
      <c r="N17" s="256"/>
    </row>
    <row r="18" spans="1:14" x14ac:dyDescent="0.25">
      <c r="A18" s="259"/>
      <c r="B18" s="260" t="s">
        <v>796</v>
      </c>
      <c r="C18" s="255"/>
      <c r="D18" s="256"/>
      <c r="E18" s="256"/>
      <c r="F18" s="256"/>
      <c r="G18" s="256"/>
      <c r="H18" s="256"/>
      <c r="I18" s="256"/>
      <c r="J18" s="256"/>
      <c r="K18" s="256"/>
      <c r="L18" s="256"/>
      <c r="M18" s="256"/>
      <c r="N18" s="256"/>
    </row>
    <row r="19" spans="1:14" x14ac:dyDescent="0.25">
      <c r="A19" s="259"/>
      <c r="B19" s="258" t="s">
        <v>797</v>
      </c>
      <c r="C19" s="255"/>
      <c r="D19" s="256"/>
      <c r="E19" s="256"/>
      <c r="F19" s="256"/>
      <c r="G19" s="256"/>
      <c r="H19" s="256"/>
      <c r="I19" s="256"/>
      <c r="J19" s="256"/>
      <c r="K19" s="256"/>
      <c r="L19" s="256"/>
      <c r="M19" s="256"/>
      <c r="N19" s="256"/>
    </row>
    <row r="20" spans="1:14" x14ac:dyDescent="0.25">
      <c r="A20" s="259"/>
      <c r="B20" s="260" t="s">
        <v>798</v>
      </c>
      <c r="C20" s="255"/>
      <c r="D20" s="256"/>
      <c r="E20" s="256"/>
      <c r="F20" s="256"/>
      <c r="G20" s="256"/>
      <c r="H20" s="256"/>
      <c r="I20" s="256"/>
      <c r="J20" s="256"/>
      <c r="K20" s="256"/>
      <c r="L20" s="256"/>
      <c r="M20" s="256"/>
      <c r="N20" s="256"/>
    </row>
    <row r="21" spans="1:14" x14ac:dyDescent="0.25">
      <c r="A21" s="259"/>
      <c r="B21" s="260" t="s">
        <v>799</v>
      </c>
      <c r="C21" s="255"/>
      <c r="D21" s="256"/>
      <c r="E21" s="256"/>
      <c r="F21" s="256"/>
      <c r="G21" s="256"/>
      <c r="H21" s="256"/>
      <c r="I21" s="256"/>
      <c r="J21" s="256"/>
      <c r="K21" s="256"/>
      <c r="L21" s="256"/>
      <c r="M21" s="256"/>
      <c r="N21" s="256"/>
    </row>
    <row r="22" spans="1:14" x14ac:dyDescent="0.25">
      <c r="A22" s="259"/>
      <c r="B22" s="260" t="s">
        <v>800</v>
      </c>
      <c r="C22" s="255"/>
      <c r="D22" s="256"/>
      <c r="E22" s="256"/>
      <c r="F22" s="256"/>
      <c r="G22" s="256"/>
      <c r="H22" s="256"/>
      <c r="I22" s="256"/>
      <c r="J22" s="256"/>
      <c r="K22" s="256"/>
      <c r="L22" s="256"/>
      <c r="M22" s="256"/>
      <c r="N22" s="256"/>
    </row>
    <row r="23" spans="1:14" ht="30" x14ac:dyDescent="0.25">
      <c r="A23" s="261"/>
      <c r="B23" s="258" t="s">
        <v>801</v>
      </c>
      <c r="C23" s="255"/>
      <c r="D23" s="256"/>
      <c r="E23" s="256"/>
      <c r="F23" s="256"/>
      <c r="G23" s="256"/>
      <c r="H23" s="256"/>
      <c r="I23" s="256"/>
      <c r="J23" s="256"/>
      <c r="K23" s="256"/>
      <c r="L23" s="256"/>
      <c r="M23" s="256"/>
      <c r="N23" s="256"/>
    </row>
    <row r="24" spans="1:14" x14ac:dyDescent="0.25">
      <c r="A24" s="1241" t="s">
        <v>802</v>
      </c>
      <c r="B24" s="1242"/>
      <c r="C24" s="256"/>
      <c r="D24" s="256"/>
      <c r="E24" s="256"/>
      <c r="F24" s="256"/>
      <c r="G24" s="256"/>
      <c r="H24" s="256"/>
      <c r="I24" s="256"/>
      <c r="J24" s="256"/>
      <c r="K24" s="256"/>
      <c r="L24" s="256"/>
      <c r="M24" s="256"/>
      <c r="N24" s="256"/>
    </row>
    <row r="25" spans="1:14" x14ac:dyDescent="0.25">
      <c r="A25" s="1237" t="s">
        <v>803</v>
      </c>
      <c r="B25" s="1238"/>
      <c r="C25" s="256"/>
      <c r="D25" s="256"/>
      <c r="E25" s="256"/>
      <c r="F25" s="256"/>
      <c r="G25" s="262"/>
      <c r="H25" s="256"/>
      <c r="I25" s="262"/>
      <c r="J25" s="256"/>
      <c r="K25" s="256"/>
      <c r="L25" s="256"/>
      <c r="M25" s="256"/>
      <c r="N25" s="256"/>
    </row>
    <row r="26" spans="1:14" x14ac:dyDescent="0.25">
      <c r="A26" s="90"/>
      <c r="B26" s="90"/>
      <c r="C26" s="90"/>
      <c r="D26" s="90"/>
      <c r="E26" s="90"/>
      <c r="F26" s="90"/>
      <c r="G26" s="90"/>
      <c r="H26" s="90"/>
      <c r="I26" s="90"/>
      <c r="J26" s="90"/>
      <c r="K26" s="90"/>
      <c r="L26" s="90"/>
      <c r="M26" s="90"/>
      <c r="N26" s="90"/>
    </row>
    <row r="27" spans="1:14" x14ac:dyDescent="0.25">
      <c r="A27" s="90"/>
      <c r="B27" s="90"/>
      <c r="C27" s="90"/>
      <c r="D27" s="90"/>
      <c r="E27" s="90"/>
      <c r="F27" s="90"/>
      <c r="G27" s="90"/>
      <c r="H27" s="90"/>
      <c r="I27" s="90"/>
      <c r="J27" s="90"/>
      <c r="K27" s="90"/>
      <c r="L27" s="90"/>
      <c r="M27" s="90"/>
      <c r="N27" s="90"/>
    </row>
    <row r="28" spans="1:14" x14ac:dyDescent="0.25">
      <c r="A28" s="90"/>
      <c r="B28" s="90"/>
      <c r="C28" s="90"/>
      <c r="D28" s="90"/>
      <c r="E28" s="90"/>
      <c r="F28" s="90"/>
      <c r="G28" s="90"/>
      <c r="H28" s="90"/>
      <c r="I28" s="90"/>
      <c r="J28" s="90"/>
      <c r="K28" s="90"/>
      <c r="L28" s="90"/>
      <c r="M28" s="90"/>
      <c r="N28" s="90"/>
    </row>
    <row r="29" spans="1:14" ht="120" x14ac:dyDescent="0.25">
      <c r="A29" s="1243" t="s">
        <v>804</v>
      </c>
      <c r="B29" s="263" t="s">
        <v>773</v>
      </c>
      <c r="C29" s="245" t="s">
        <v>668</v>
      </c>
      <c r="D29" s="245" t="s">
        <v>774</v>
      </c>
      <c r="E29" s="6" t="s">
        <v>775</v>
      </c>
      <c r="F29" s="6" t="s">
        <v>746</v>
      </c>
      <c r="G29" s="6" t="s">
        <v>776</v>
      </c>
      <c r="H29" s="6" t="s">
        <v>777</v>
      </c>
      <c r="I29" s="6" t="s">
        <v>778</v>
      </c>
      <c r="J29" s="6" t="s">
        <v>779</v>
      </c>
      <c r="K29" s="245" t="s">
        <v>780</v>
      </c>
      <c r="L29" s="245" t="s">
        <v>781</v>
      </c>
      <c r="M29" s="245" t="s">
        <v>782</v>
      </c>
      <c r="N29" s="245" t="s">
        <v>783</v>
      </c>
    </row>
    <row r="30" spans="1:14" x14ac:dyDescent="0.25">
      <c r="A30" s="1244"/>
      <c r="B30" s="264" t="s">
        <v>105</v>
      </c>
      <c r="C30" s="46" t="s">
        <v>104</v>
      </c>
      <c r="D30" s="46" t="s">
        <v>99</v>
      </c>
      <c r="E30" s="46" t="s">
        <v>98</v>
      </c>
      <c r="F30" s="46" t="s">
        <v>97</v>
      </c>
      <c r="G30" s="46" t="s">
        <v>113</v>
      </c>
      <c r="H30" s="46" t="s">
        <v>114</v>
      </c>
      <c r="I30" s="46" t="s">
        <v>169</v>
      </c>
      <c r="J30" s="46" t="s">
        <v>328</v>
      </c>
      <c r="K30" s="46" t="s">
        <v>329</v>
      </c>
      <c r="L30" s="46" t="s">
        <v>330</v>
      </c>
      <c r="M30" s="46" t="s">
        <v>331</v>
      </c>
      <c r="N30" s="46" t="s">
        <v>332</v>
      </c>
    </row>
    <row r="31" spans="1:14" ht="30" x14ac:dyDescent="0.25">
      <c r="A31" s="253" t="s">
        <v>784</v>
      </c>
      <c r="B31" s="254"/>
      <c r="C31" s="255"/>
      <c r="D31" s="256"/>
      <c r="E31" s="256"/>
      <c r="F31" s="256"/>
      <c r="G31" s="256"/>
      <c r="H31" s="256"/>
      <c r="I31" s="256"/>
      <c r="J31" s="256"/>
      <c r="K31" s="256"/>
      <c r="L31" s="256"/>
      <c r="M31" s="256"/>
      <c r="N31" s="256"/>
    </row>
    <row r="32" spans="1:14" x14ac:dyDescent="0.25">
      <c r="A32" s="257"/>
      <c r="B32" s="258" t="s">
        <v>785</v>
      </c>
      <c r="C32" s="255"/>
      <c r="D32" s="256"/>
      <c r="E32" s="256"/>
      <c r="F32" s="256"/>
      <c r="G32" s="256"/>
      <c r="H32" s="256"/>
      <c r="I32" s="256"/>
      <c r="J32" s="256"/>
      <c r="K32" s="256"/>
      <c r="L32" s="256"/>
      <c r="M32" s="256"/>
      <c r="N32" s="256"/>
    </row>
    <row r="33" spans="1:14" x14ac:dyDescent="0.25">
      <c r="A33" s="259"/>
      <c r="B33" s="260" t="s">
        <v>786</v>
      </c>
      <c r="C33" s="255"/>
      <c r="D33" s="256"/>
      <c r="E33" s="256"/>
      <c r="F33" s="256"/>
      <c r="G33" s="256"/>
      <c r="H33" s="256"/>
      <c r="I33" s="256"/>
      <c r="J33" s="256"/>
      <c r="K33" s="256"/>
      <c r="L33" s="256"/>
      <c r="M33" s="256"/>
      <c r="N33" s="256"/>
    </row>
    <row r="34" spans="1:14" x14ac:dyDescent="0.25">
      <c r="A34" s="259"/>
      <c r="B34" s="260" t="s">
        <v>787</v>
      </c>
      <c r="C34" s="255"/>
      <c r="D34" s="256"/>
      <c r="E34" s="256"/>
      <c r="F34" s="256"/>
      <c r="G34" s="256"/>
      <c r="H34" s="256"/>
      <c r="I34" s="256"/>
      <c r="J34" s="256"/>
      <c r="K34" s="256"/>
      <c r="L34" s="256"/>
      <c r="M34" s="256"/>
      <c r="N34" s="256"/>
    </row>
    <row r="35" spans="1:14" x14ac:dyDescent="0.25">
      <c r="A35" s="259"/>
      <c r="B35" s="258" t="s">
        <v>788</v>
      </c>
      <c r="C35" s="255"/>
      <c r="D35" s="256"/>
      <c r="E35" s="256"/>
      <c r="F35" s="256"/>
      <c r="G35" s="256"/>
      <c r="H35" s="256"/>
      <c r="I35" s="256"/>
      <c r="J35" s="256"/>
      <c r="K35" s="256"/>
      <c r="L35" s="256"/>
      <c r="M35" s="256"/>
      <c r="N35" s="256"/>
    </row>
    <row r="36" spans="1:14" x14ac:dyDescent="0.25">
      <c r="A36" s="259"/>
      <c r="B36" s="258" t="s">
        <v>789</v>
      </c>
      <c r="C36" s="255"/>
      <c r="D36" s="256"/>
      <c r="E36" s="256"/>
      <c r="F36" s="256"/>
      <c r="G36" s="256"/>
      <c r="H36" s="256"/>
      <c r="I36" s="256"/>
      <c r="J36" s="256"/>
      <c r="K36" s="256"/>
      <c r="L36" s="256"/>
      <c r="M36" s="256"/>
      <c r="N36" s="256"/>
    </row>
    <row r="37" spans="1:14" x14ac:dyDescent="0.25">
      <c r="A37" s="259"/>
      <c r="B37" s="258" t="s">
        <v>790</v>
      </c>
      <c r="C37" s="255"/>
      <c r="D37" s="256"/>
      <c r="E37" s="256"/>
      <c r="F37" s="256"/>
      <c r="G37" s="256"/>
      <c r="H37" s="256"/>
      <c r="I37" s="256"/>
      <c r="J37" s="256"/>
      <c r="K37" s="256"/>
      <c r="L37" s="256"/>
      <c r="M37" s="256"/>
      <c r="N37" s="256"/>
    </row>
    <row r="38" spans="1:14" x14ac:dyDescent="0.25">
      <c r="A38" s="259"/>
      <c r="B38" s="258" t="s">
        <v>791</v>
      </c>
      <c r="C38" s="255"/>
      <c r="D38" s="256"/>
      <c r="E38" s="256"/>
      <c r="F38" s="256"/>
      <c r="G38" s="256"/>
      <c r="H38" s="256"/>
      <c r="I38" s="256"/>
      <c r="J38" s="256"/>
      <c r="K38" s="256"/>
      <c r="L38" s="256"/>
      <c r="M38" s="256"/>
      <c r="N38" s="256"/>
    </row>
    <row r="39" spans="1:14" x14ac:dyDescent="0.25">
      <c r="A39" s="259"/>
      <c r="B39" s="260" t="s">
        <v>792</v>
      </c>
      <c r="C39" s="255"/>
      <c r="D39" s="256"/>
      <c r="E39" s="256"/>
      <c r="F39" s="256"/>
      <c r="G39" s="256"/>
      <c r="H39" s="256"/>
      <c r="I39" s="256"/>
      <c r="J39" s="256"/>
      <c r="K39" s="256"/>
      <c r="L39" s="256"/>
      <c r="M39" s="256"/>
      <c r="N39" s="256"/>
    </row>
    <row r="40" spans="1:14" x14ac:dyDescent="0.25">
      <c r="A40" s="259"/>
      <c r="B40" s="260" t="s">
        <v>793</v>
      </c>
      <c r="C40" s="255"/>
      <c r="D40" s="256"/>
      <c r="E40" s="256"/>
      <c r="F40" s="256"/>
      <c r="G40" s="256"/>
      <c r="H40" s="256"/>
      <c r="I40" s="256"/>
      <c r="J40" s="256"/>
      <c r="K40" s="256"/>
      <c r="L40" s="256"/>
      <c r="M40" s="256"/>
      <c r="N40" s="256"/>
    </row>
    <row r="41" spans="1:14" x14ac:dyDescent="0.25">
      <c r="A41" s="259"/>
      <c r="B41" s="258" t="s">
        <v>794</v>
      </c>
      <c r="C41" s="255"/>
      <c r="D41" s="256"/>
      <c r="E41" s="256"/>
      <c r="F41" s="256"/>
      <c r="G41" s="256"/>
      <c r="H41" s="256"/>
      <c r="I41" s="256"/>
      <c r="J41" s="256"/>
      <c r="K41" s="256"/>
      <c r="L41" s="256"/>
      <c r="M41" s="256"/>
      <c r="N41" s="256"/>
    </row>
    <row r="42" spans="1:14" x14ac:dyDescent="0.25">
      <c r="A42" s="259"/>
      <c r="B42" s="260" t="s">
        <v>795</v>
      </c>
      <c r="C42" s="255"/>
      <c r="D42" s="256"/>
      <c r="E42" s="256"/>
      <c r="F42" s="256"/>
      <c r="G42" s="256"/>
      <c r="H42" s="256"/>
      <c r="I42" s="256"/>
      <c r="J42" s="256"/>
      <c r="K42" s="256"/>
      <c r="L42" s="256"/>
      <c r="M42" s="256"/>
      <c r="N42" s="256"/>
    </row>
    <row r="43" spans="1:14" x14ac:dyDescent="0.25">
      <c r="A43" s="259"/>
      <c r="B43" s="260" t="s">
        <v>796</v>
      </c>
      <c r="C43" s="255"/>
      <c r="D43" s="256"/>
      <c r="E43" s="256"/>
      <c r="F43" s="256"/>
      <c r="G43" s="256"/>
      <c r="H43" s="256"/>
      <c r="I43" s="256"/>
      <c r="J43" s="256"/>
      <c r="K43" s="256"/>
      <c r="L43" s="256"/>
      <c r="M43" s="256"/>
      <c r="N43" s="256"/>
    </row>
    <row r="44" spans="1:14" x14ac:dyDescent="0.25">
      <c r="A44" s="259"/>
      <c r="B44" s="258" t="s">
        <v>797</v>
      </c>
      <c r="C44" s="255"/>
      <c r="D44" s="256"/>
      <c r="E44" s="256"/>
      <c r="F44" s="256"/>
      <c r="G44" s="256"/>
      <c r="H44" s="256"/>
      <c r="I44" s="256"/>
      <c r="J44" s="256"/>
      <c r="K44" s="256"/>
      <c r="L44" s="256"/>
      <c r="M44" s="256"/>
      <c r="N44" s="256"/>
    </row>
    <row r="45" spans="1:14" x14ac:dyDescent="0.25">
      <c r="A45" s="259"/>
      <c r="B45" s="260" t="s">
        <v>798</v>
      </c>
      <c r="C45" s="255"/>
      <c r="D45" s="256"/>
      <c r="E45" s="256"/>
      <c r="F45" s="256"/>
      <c r="G45" s="256"/>
      <c r="H45" s="256"/>
      <c r="I45" s="256"/>
      <c r="J45" s="256"/>
      <c r="K45" s="256"/>
      <c r="L45" s="256"/>
      <c r="M45" s="256"/>
      <c r="N45" s="256"/>
    </row>
    <row r="46" spans="1:14" x14ac:dyDescent="0.25">
      <c r="A46" s="259"/>
      <c r="B46" s="260" t="s">
        <v>799</v>
      </c>
      <c r="C46" s="255"/>
      <c r="D46" s="256"/>
      <c r="E46" s="256"/>
      <c r="F46" s="256"/>
      <c r="G46" s="256"/>
      <c r="H46" s="256"/>
      <c r="I46" s="256"/>
      <c r="J46" s="256"/>
      <c r="K46" s="256"/>
      <c r="L46" s="256"/>
      <c r="M46" s="256"/>
      <c r="N46" s="256"/>
    </row>
    <row r="47" spans="1:14" x14ac:dyDescent="0.25">
      <c r="A47" s="259"/>
      <c r="B47" s="260" t="s">
        <v>800</v>
      </c>
      <c r="C47" s="255"/>
      <c r="D47" s="256"/>
      <c r="E47" s="256"/>
      <c r="F47" s="256"/>
      <c r="G47" s="256"/>
      <c r="H47" s="256"/>
      <c r="I47" s="256"/>
      <c r="J47" s="256"/>
      <c r="K47" s="256"/>
      <c r="L47" s="256"/>
      <c r="M47" s="256"/>
      <c r="N47" s="256"/>
    </row>
    <row r="48" spans="1:14" ht="30" x14ac:dyDescent="0.25">
      <c r="A48" s="261"/>
      <c r="B48" s="258" t="s">
        <v>801</v>
      </c>
      <c r="C48" s="255"/>
      <c r="D48" s="256"/>
      <c r="E48" s="256"/>
      <c r="F48" s="256"/>
      <c r="G48" s="256"/>
      <c r="H48" s="256"/>
      <c r="I48" s="256"/>
      <c r="J48" s="256"/>
      <c r="K48" s="256"/>
      <c r="L48" s="256"/>
      <c r="M48" s="256"/>
      <c r="N48" s="256"/>
    </row>
    <row r="49" spans="1:14" x14ac:dyDescent="0.25">
      <c r="A49" s="1241" t="s">
        <v>802</v>
      </c>
      <c r="B49" s="1242"/>
      <c r="C49" s="256"/>
      <c r="D49" s="256"/>
      <c r="E49" s="256"/>
      <c r="F49" s="256"/>
      <c r="G49" s="256"/>
      <c r="H49" s="256"/>
      <c r="I49" s="256"/>
      <c r="J49" s="256"/>
      <c r="K49" s="256"/>
      <c r="L49" s="256"/>
      <c r="M49" s="256"/>
      <c r="N49" s="256"/>
    </row>
    <row r="50" spans="1:14" x14ac:dyDescent="0.25">
      <c r="A50" s="1237" t="s">
        <v>803</v>
      </c>
      <c r="B50" s="1238"/>
      <c r="C50" s="256"/>
      <c r="D50" s="256"/>
      <c r="E50" s="256"/>
      <c r="F50" s="256"/>
      <c r="G50" s="262"/>
      <c r="H50" s="256"/>
      <c r="I50" s="262"/>
      <c r="J50" s="256"/>
      <c r="K50" s="256"/>
      <c r="L50" s="256"/>
      <c r="M50" s="256"/>
      <c r="N50" s="256"/>
    </row>
  </sheetData>
  <mergeCells count="6">
    <mergeCell ref="A50:B50"/>
    <mergeCell ref="A4:A5"/>
    <mergeCell ref="A24:B24"/>
    <mergeCell ref="A25:B25"/>
    <mergeCell ref="A29:A30"/>
    <mergeCell ref="A49:B49"/>
  </mergeCells>
  <hyperlinks>
    <hyperlink ref="A1" location="Indhold!B76" display="Skema EU CR6 — IRB-metoden — kreditrisikoeksponeringer efter eksponeringsklasse og PD-interval" xr:uid="{89CA4AC0-6838-403B-AA47-E0A287AB59EB}"/>
  </hyperlinks>
  <pageMargins left="0.70866141732283472" right="0.70866141732283472" top="0.74803149606299213" bottom="0.74803149606299213" header="0.31496062992125984" footer="0.31496062992125984"/>
  <pageSetup paperSize="9" scale="61" fitToHeight="0" orientation="landscape" r:id="rId1"/>
  <headerFooter>
    <oddHeader>&amp;CDA
Bilag XXI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8FC56-44E4-4DB4-9F92-433A4195D960}">
  <sheetPr>
    <tabColor rgb="FFFF0000"/>
    <pageSetUpPr autoPageBreaks="0" fitToPage="1"/>
  </sheetPr>
  <dimension ref="B2:J23"/>
  <sheetViews>
    <sheetView showGridLines="0" zoomScaleNormal="100" zoomScaleSheetLayoutView="100" workbookViewId="0">
      <selection activeCell="B2" sqref="B2"/>
    </sheetView>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878" t="s">
        <v>805</v>
      </c>
      <c r="C2" s="265"/>
      <c r="D2" s="265"/>
      <c r="E2" s="266"/>
      <c r="F2" s="266"/>
      <c r="G2" s="266"/>
      <c r="H2" s="266"/>
      <c r="I2" s="266"/>
    </row>
    <row r="4" spans="2:10" x14ac:dyDescent="0.25">
      <c r="B4" s="267"/>
      <c r="C4" s="267"/>
      <c r="D4" s="267"/>
      <c r="E4" s="267"/>
      <c r="F4" s="267"/>
    </row>
    <row r="5" spans="2:10" x14ac:dyDescent="0.25">
      <c r="B5" s="34"/>
      <c r="C5" s="34"/>
      <c r="D5" s="34"/>
      <c r="E5" s="268"/>
      <c r="F5" s="268"/>
      <c r="J5" s="34"/>
    </row>
    <row r="6" spans="2:10" ht="42" x14ac:dyDescent="0.25">
      <c r="B6" s="269"/>
      <c r="C6" s="270"/>
      <c r="D6" s="271" t="s">
        <v>806</v>
      </c>
      <c r="E6" s="272" t="s">
        <v>807</v>
      </c>
      <c r="F6" s="272" t="s">
        <v>808</v>
      </c>
      <c r="G6" s="272" t="s">
        <v>809</v>
      </c>
      <c r="H6" s="272" t="s">
        <v>810</v>
      </c>
    </row>
    <row r="7" spans="2:10" x14ac:dyDescent="0.25">
      <c r="B7" s="269"/>
      <c r="C7" s="269"/>
      <c r="D7" s="273" t="s">
        <v>105</v>
      </c>
      <c r="E7" s="274" t="s">
        <v>104</v>
      </c>
      <c r="F7" s="274" t="s">
        <v>99</v>
      </c>
      <c r="G7" s="274" t="s">
        <v>98</v>
      </c>
      <c r="H7" s="274" t="s">
        <v>97</v>
      </c>
    </row>
    <row r="8" spans="2:10" x14ac:dyDescent="0.25">
      <c r="B8" s="275">
        <v>1</v>
      </c>
      <c r="C8" s="275" t="s">
        <v>811</v>
      </c>
      <c r="D8" s="276"/>
      <c r="E8" s="276"/>
      <c r="F8" s="275"/>
      <c r="G8" s="275"/>
      <c r="H8" s="275"/>
    </row>
    <row r="9" spans="2:10" x14ac:dyDescent="0.25">
      <c r="B9" s="275">
        <v>1.1000000000000001</v>
      </c>
      <c r="C9" s="277" t="s">
        <v>812</v>
      </c>
      <c r="D9" s="278"/>
      <c r="E9" s="275"/>
      <c r="F9" s="275"/>
      <c r="G9" s="275"/>
      <c r="H9" s="275"/>
    </row>
    <row r="10" spans="2:10" x14ac:dyDescent="0.25">
      <c r="B10" s="275">
        <v>1.2</v>
      </c>
      <c r="C10" s="277" t="s">
        <v>813</v>
      </c>
      <c r="D10" s="278"/>
      <c r="E10" s="275"/>
      <c r="F10" s="275"/>
      <c r="G10" s="275"/>
      <c r="H10" s="275"/>
    </row>
    <row r="11" spans="2:10" x14ac:dyDescent="0.25">
      <c r="B11" s="275">
        <v>2</v>
      </c>
      <c r="C11" s="275" t="s">
        <v>481</v>
      </c>
      <c r="D11" s="275"/>
      <c r="E11" s="275"/>
      <c r="F11" s="275"/>
      <c r="G11" s="275"/>
      <c r="H11" s="275"/>
    </row>
    <row r="12" spans="2:10" x14ac:dyDescent="0.25">
      <c r="B12" s="275">
        <v>3</v>
      </c>
      <c r="C12" s="275" t="s">
        <v>487</v>
      </c>
      <c r="D12" s="275"/>
      <c r="E12" s="275"/>
      <c r="F12" s="275"/>
      <c r="G12" s="275"/>
      <c r="H12" s="275"/>
    </row>
    <row r="13" spans="2:10" ht="21" x14ac:dyDescent="0.25">
      <c r="B13" s="275">
        <v>3.1</v>
      </c>
      <c r="C13" s="277" t="s">
        <v>814</v>
      </c>
      <c r="D13" s="278"/>
      <c r="E13" s="275"/>
      <c r="F13" s="275"/>
      <c r="G13" s="275"/>
      <c r="H13" s="275"/>
    </row>
    <row r="14" spans="2:10" ht="21" x14ac:dyDescent="0.25">
      <c r="B14" s="275">
        <v>3.2</v>
      </c>
      <c r="C14" s="277" t="s">
        <v>815</v>
      </c>
      <c r="D14" s="278"/>
      <c r="E14" s="275"/>
      <c r="F14" s="275"/>
      <c r="G14" s="275"/>
      <c r="H14" s="275"/>
    </row>
    <row r="15" spans="2:10" x14ac:dyDescent="0.25">
      <c r="B15" s="275">
        <v>4</v>
      </c>
      <c r="C15" s="275" t="s">
        <v>755</v>
      </c>
      <c r="D15" s="275"/>
      <c r="E15" s="275"/>
      <c r="F15" s="275"/>
      <c r="G15" s="275"/>
      <c r="H15" s="275"/>
    </row>
    <row r="16" spans="2:10" x14ac:dyDescent="0.25">
      <c r="B16" s="275">
        <v>4.0999999999999996</v>
      </c>
      <c r="C16" s="279" t="s">
        <v>816</v>
      </c>
      <c r="D16" s="280"/>
      <c r="E16" s="275"/>
      <c r="F16" s="275"/>
      <c r="G16" s="275"/>
      <c r="H16" s="275"/>
    </row>
    <row r="17" spans="2:8" x14ac:dyDescent="0.25">
      <c r="B17" s="275">
        <v>4.2</v>
      </c>
      <c r="C17" s="279" t="s">
        <v>817</v>
      </c>
      <c r="D17" s="280"/>
      <c r="E17" s="275"/>
      <c r="F17" s="275"/>
      <c r="G17" s="275"/>
      <c r="H17" s="275"/>
    </row>
    <row r="18" spans="2:8" x14ac:dyDescent="0.25">
      <c r="B18" s="275">
        <v>4.3</v>
      </c>
      <c r="C18" s="279" t="s">
        <v>818</v>
      </c>
      <c r="D18" s="280"/>
      <c r="E18" s="275"/>
      <c r="F18" s="275"/>
      <c r="G18" s="275"/>
      <c r="H18" s="275"/>
    </row>
    <row r="19" spans="2:8" x14ac:dyDescent="0.25">
      <c r="B19" s="275">
        <v>4.4000000000000004</v>
      </c>
      <c r="C19" s="279" t="s">
        <v>819</v>
      </c>
      <c r="D19" s="280"/>
      <c r="E19" s="275"/>
      <c r="F19" s="275"/>
      <c r="G19" s="275"/>
      <c r="H19" s="275"/>
    </row>
    <row r="20" spans="2:8" x14ac:dyDescent="0.25">
      <c r="B20" s="275">
        <v>4.5</v>
      </c>
      <c r="C20" s="279" t="s">
        <v>820</v>
      </c>
      <c r="D20" s="280"/>
      <c r="E20" s="275"/>
      <c r="F20" s="275"/>
      <c r="G20" s="275"/>
      <c r="H20" s="275"/>
    </row>
    <row r="21" spans="2:8" x14ac:dyDescent="0.25">
      <c r="B21" s="275">
        <v>5</v>
      </c>
      <c r="C21" s="275" t="s">
        <v>187</v>
      </c>
      <c r="D21" s="275"/>
      <c r="E21" s="275"/>
      <c r="F21" s="275"/>
      <c r="G21" s="275"/>
      <c r="H21" s="275"/>
    </row>
    <row r="22" spans="2:8" x14ac:dyDescent="0.25">
      <c r="B22" s="275">
        <v>6</v>
      </c>
      <c r="C22" s="275" t="s">
        <v>821</v>
      </c>
      <c r="D22" s="275"/>
      <c r="E22" s="275"/>
      <c r="F22" s="275"/>
      <c r="G22" s="275"/>
      <c r="H22" s="275"/>
    </row>
    <row r="23" spans="2:8" x14ac:dyDescent="0.25">
      <c r="B23" s="275">
        <v>7</v>
      </c>
      <c r="C23" s="281" t="s">
        <v>822</v>
      </c>
      <c r="D23" s="281"/>
      <c r="E23" s="275"/>
      <c r="F23" s="275"/>
      <c r="G23" s="275"/>
      <c r="H23" s="275"/>
    </row>
  </sheetData>
  <hyperlinks>
    <hyperlink ref="B2" location="Indhold!B77" display="Skema EU CR6-A – IRB-metoden – anvendelsesområdet for IRB-metoden og SA-metoden" xr:uid="{3BB5EE15-D20F-4D33-8EB8-2D9F572E72A2}"/>
  </hyperlink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1C8F5-B42C-488D-8591-0E944784F22B}">
  <sheetPr>
    <tabColor rgb="FFFF0000"/>
    <pageSetUpPr autoPageBreaks="0" fitToPage="1"/>
  </sheetPr>
  <dimension ref="C2:K26"/>
  <sheetViews>
    <sheetView showGridLines="0" zoomScaleNormal="100" zoomScaleSheetLayoutView="100" zoomScalePageLayoutView="80" workbookViewId="0">
      <selection activeCell="C2" sqref="C2"/>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21" x14ac:dyDescent="0.35">
      <c r="C2" s="878" t="s">
        <v>823</v>
      </c>
      <c r="D2" s="265"/>
      <c r="E2" s="265"/>
      <c r="F2" s="265"/>
      <c r="G2" s="244"/>
      <c r="H2" s="244"/>
      <c r="I2" s="244"/>
      <c r="J2" s="244"/>
      <c r="K2" s="244"/>
    </row>
    <row r="4" spans="3:11" x14ac:dyDescent="0.25">
      <c r="C4" s="267"/>
      <c r="D4" s="267"/>
      <c r="E4" s="267"/>
      <c r="F4" s="267"/>
    </row>
    <row r="5" spans="3:11" x14ac:dyDescent="0.25">
      <c r="C5" s="202"/>
      <c r="D5" s="202"/>
      <c r="E5" s="268"/>
      <c r="F5" s="268"/>
    </row>
    <row r="6" spans="3:11" ht="33" x14ac:dyDescent="0.25">
      <c r="C6" s="283"/>
      <c r="D6" s="283"/>
      <c r="E6" s="284" t="s">
        <v>824</v>
      </c>
      <c r="F6" s="284" t="s">
        <v>825</v>
      </c>
    </row>
    <row r="7" spans="3:11" ht="16.5" x14ac:dyDescent="0.25">
      <c r="C7" s="1245"/>
      <c r="D7" s="1245"/>
      <c r="E7" s="285" t="s">
        <v>105</v>
      </c>
      <c r="F7" s="285" t="s">
        <v>104</v>
      </c>
    </row>
    <row r="8" spans="3:11" ht="16.5" x14ac:dyDescent="0.25">
      <c r="C8" s="452">
        <v>1</v>
      </c>
      <c r="D8" s="453" t="s">
        <v>826</v>
      </c>
      <c r="E8" s="287"/>
      <c r="F8" s="287"/>
    </row>
    <row r="9" spans="3:11" ht="16.5" x14ac:dyDescent="0.25">
      <c r="C9" s="452">
        <v>2</v>
      </c>
      <c r="D9" s="452" t="s">
        <v>827</v>
      </c>
      <c r="E9" s="286"/>
      <c r="F9" s="286"/>
    </row>
    <row r="10" spans="3:11" ht="16.5" x14ac:dyDescent="0.25">
      <c r="C10" s="452">
        <v>3</v>
      </c>
      <c r="D10" s="452" t="s">
        <v>481</v>
      </c>
      <c r="E10" s="286"/>
      <c r="F10" s="286"/>
    </row>
    <row r="11" spans="3:11" ht="16.5" x14ac:dyDescent="0.25">
      <c r="C11" s="452">
        <v>4</v>
      </c>
      <c r="D11" s="452" t="s">
        <v>828</v>
      </c>
      <c r="E11" s="286"/>
      <c r="F11" s="286"/>
    </row>
    <row r="12" spans="3:11" ht="16.5" x14ac:dyDescent="0.25">
      <c r="C12" s="454">
        <v>4.0999999999999996</v>
      </c>
      <c r="D12" s="454" t="s">
        <v>829</v>
      </c>
      <c r="E12" s="286"/>
      <c r="F12" s="286"/>
    </row>
    <row r="13" spans="3:11" ht="16.5" x14ac:dyDescent="0.25">
      <c r="C13" s="454">
        <v>4.2</v>
      </c>
      <c r="D13" s="454" t="s">
        <v>830</v>
      </c>
      <c r="E13" s="286"/>
      <c r="F13" s="286"/>
    </row>
    <row r="14" spans="3:11" ht="16.5" x14ac:dyDescent="0.25">
      <c r="C14" s="452">
        <v>5</v>
      </c>
      <c r="D14" s="453" t="s">
        <v>831</v>
      </c>
      <c r="E14" s="287"/>
      <c r="F14" s="287"/>
    </row>
    <row r="15" spans="3:11" ht="16.5" x14ac:dyDescent="0.25">
      <c r="C15" s="452">
        <v>6</v>
      </c>
      <c r="D15" s="452" t="s">
        <v>827</v>
      </c>
      <c r="E15" s="286"/>
      <c r="F15" s="286"/>
    </row>
    <row r="16" spans="3:11" ht="16.5" x14ac:dyDescent="0.25">
      <c r="C16" s="452">
        <v>7</v>
      </c>
      <c r="D16" s="452" t="s">
        <v>481</v>
      </c>
      <c r="E16" s="286"/>
      <c r="F16" s="286"/>
    </row>
    <row r="17" spans="3:6" ht="16.5" x14ac:dyDescent="0.25">
      <c r="C17" s="452">
        <v>8</v>
      </c>
      <c r="D17" s="452" t="s">
        <v>828</v>
      </c>
      <c r="E17" s="286"/>
      <c r="F17" s="286" t="s">
        <v>832</v>
      </c>
    </row>
    <row r="18" spans="3:6" ht="17.25" x14ac:dyDescent="0.25">
      <c r="C18" s="455">
        <v>8.1</v>
      </c>
      <c r="D18" s="454" t="s">
        <v>829</v>
      </c>
      <c r="E18" s="286"/>
      <c r="F18" s="286"/>
    </row>
    <row r="19" spans="3:6" ht="17.25" x14ac:dyDescent="0.25">
      <c r="C19" s="455">
        <v>8.1999999999999993</v>
      </c>
      <c r="D19" s="454" t="s">
        <v>830</v>
      </c>
      <c r="E19" s="286"/>
      <c r="F19" s="286"/>
    </row>
    <row r="20" spans="3:6" ht="17.25" x14ac:dyDescent="0.25">
      <c r="C20" s="455">
        <v>9</v>
      </c>
      <c r="D20" s="452" t="s">
        <v>755</v>
      </c>
      <c r="E20" s="286"/>
      <c r="F20" s="286"/>
    </row>
    <row r="21" spans="3:6" ht="33" x14ac:dyDescent="0.25">
      <c r="C21" s="455">
        <v>9.1</v>
      </c>
      <c r="D21" s="454" t="s">
        <v>833</v>
      </c>
      <c r="E21" s="286"/>
      <c r="F21" s="286"/>
    </row>
    <row r="22" spans="3:6" ht="33" x14ac:dyDescent="0.25">
      <c r="C22" s="455">
        <v>9.1999999999999993</v>
      </c>
      <c r="D22" s="454" t="s">
        <v>834</v>
      </c>
      <c r="E22" s="286"/>
      <c r="F22" s="286"/>
    </row>
    <row r="23" spans="3:6" ht="17.25" x14ac:dyDescent="0.25">
      <c r="C23" s="455">
        <v>9.3000000000000007</v>
      </c>
      <c r="D23" s="454" t="s">
        <v>818</v>
      </c>
      <c r="E23" s="286"/>
      <c r="F23" s="286"/>
    </row>
    <row r="24" spans="3:6" ht="17.25" x14ac:dyDescent="0.25">
      <c r="C24" s="455">
        <v>9.4</v>
      </c>
      <c r="D24" s="454" t="s">
        <v>835</v>
      </c>
      <c r="E24" s="286"/>
      <c r="F24" s="286"/>
    </row>
    <row r="25" spans="3:6" ht="17.25" x14ac:dyDescent="0.25">
      <c r="C25" s="455">
        <v>9.5</v>
      </c>
      <c r="D25" s="454" t="s">
        <v>836</v>
      </c>
      <c r="E25" s="286"/>
      <c r="F25" s="286"/>
    </row>
    <row r="26" spans="3:6" s="34" customFormat="1" ht="39.75" customHeight="1" x14ac:dyDescent="0.25">
      <c r="C26" s="452">
        <v>10</v>
      </c>
      <c r="D26" s="453" t="s">
        <v>837</v>
      </c>
      <c r="E26" s="287"/>
      <c r="F26" s="287"/>
    </row>
  </sheetData>
  <mergeCells count="1">
    <mergeCell ref="C7:D7"/>
  </mergeCells>
  <hyperlinks>
    <hyperlink ref="C2" location="Indhold!B78" display="Skema EU CR7 – IRB-metoden – Virkning af kreditderivater anvendt som CRM-teknikker på de risikovægtede eksponeringer" xr:uid="{1F1F5BFD-EFAA-41CB-8E66-9EEE1487C3B8}"/>
  </hyperlink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20B1-2117-482A-AFF7-B0E0E13651A7}">
  <sheetPr>
    <pageSetUpPr fitToPage="1"/>
  </sheetPr>
  <dimension ref="B2:P61"/>
  <sheetViews>
    <sheetView showGridLines="0" zoomScaleNormal="100" zoomScalePageLayoutView="80" workbookViewId="0">
      <selection activeCell="B2" sqref="B2"/>
    </sheetView>
  </sheetViews>
  <sheetFormatPr defaultColWidth="9.140625" defaultRowHeight="15" x14ac:dyDescent="0.25"/>
  <cols>
    <col min="2" max="2" width="7.5703125" style="41" customWidth="1"/>
    <col min="3" max="3" width="44" customWidth="1"/>
    <col min="4" max="5" width="23" customWidth="1"/>
    <col min="6" max="10" width="21.140625" customWidth="1"/>
    <col min="12" max="12" width="10.5703125" bestFit="1" customWidth="1"/>
  </cols>
  <sheetData>
    <row r="2" spans="2:16" ht="24" customHeight="1" x14ac:dyDescent="0.3">
      <c r="B2" s="422" t="s">
        <v>112</v>
      </c>
      <c r="D2" s="42"/>
      <c r="E2" s="42"/>
      <c r="F2" s="42"/>
      <c r="G2" s="42"/>
      <c r="H2" s="42"/>
      <c r="I2" s="42"/>
      <c r="J2" s="42"/>
    </row>
    <row r="4" spans="2:16" x14ac:dyDescent="0.25">
      <c r="B4"/>
    </row>
    <row r="5" spans="2:16" x14ac:dyDescent="0.25">
      <c r="B5" s="514"/>
      <c r="C5" s="446"/>
      <c r="D5" s="448" t="s">
        <v>105</v>
      </c>
      <c r="E5" s="448" t="s">
        <v>104</v>
      </c>
      <c r="F5" s="448" t="s">
        <v>99</v>
      </c>
      <c r="G5" s="448" t="s">
        <v>98</v>
      </c>
      <c r="H5" s="448" t="s">
        <v>97</v>
      </c>
      <c r="I5" s="448" t="s">
        <v>113</v>
      </c>
      <c r="J5" s="448" t="s">
        <v>114</v>
      </c>
    </row>
    <row r="6" spans="2:16" x14ac:dyDescent="0.25">
      <c r="B6" s="514"/>
      <c r="C6" s="446" t="s">
        <v>115</v>
      </c>
      <c r="D6" s="907" t="s">
        <v>116</v>
      </c>
      <c r="E6" s="909" t="s">
        <v>117</v>
      </c>
      <c r="F6" s="911" t="s">
        <v>118</v>
      </c>
      <c r="G6" s="912"/>
      <c r="H6" s="912"/>
      <c r="I6" s="912"/>
      <c r="J6" s="913"/>
    </row>
    <row r="7" spans="2:16" ht="90.75" customHeight="1" x14ac:dyDescent="0.25">
      <c r="B7" s="514"/>
      <c r="C7" s="447" t="s">
        <v>1431</v>
      </c>
      <c r="D7" s="908"/>
      <c r="E7" s="910"/>
      <c r="F7" s="450" t="s">
        <v>1427</v>
      </c>
      <c r="G7" s="450" t="s">
        <v>1426</v>
      </c>
      <c r="H7" s="450" t="s">
        <v>1428</v>
      </c>
      <c r="I7" s="450" t="s">
        <v>1429</v>
      </c>
      <c r="J7" s="450" t="s">
        <v>119</v>
      </c>
    </row>
    <row r="8" spans="2:16" ht="45" x14ac:dyDescent="0.25">
      <c r="B8" s="457"/>
      <c r="C8" s="44" t="s">
        <v>120</v>
      </c>
      <c r="D8" s="451"/>
      <c r="E8" s="449"/>
      <c r="F8" s="449"/>
      <c r="G8" s="449"/>
      <c r="H8" s="449"/>
      <c r="I8" s="449"/>
      <c r="J8" s="449"/>
      <c r="P8" s="45"/>
    </row>
    <row r="9" spans="2:16" ht="30" x14ac:dyDescent="0.25">
      <c r="B9" s="46">
        <v>1</v>
      </c>
      <c r="C9" s="47" t="s">
        <v>121</v>
      </c>
      <c r="D9" s="494">
        <v>1192178</v>
      </c>
      <c r="E9" s="493"/>
      <c r="F9" s="493">
        <f>+D9</f>
        <v>1192178</v>
      </c>
      <c r="G9" s="493"/>
      <c r="H9" s="493"/>
      <c r="I9" s="495"/>
      <c r="J9" s="495"/>
    </row>
    <row r="10" spans="2:16" ht="30" x14ac:dyDescent="0.25">
      <c r="B10" s="46">
        <f>+B9+1</f>
        <v>2</v>
      </c>
      <c r="C10" s="47" t="s">
        <v>122</v>
      </c>
      <c r="D10" s="494">
        <v>131203</v>
      </c>
      <c r="E10" s="493"/>
      <c r="F10" s="493">
        <f>+D10</f>
        <v>131203</v>
      </c>
      <c r="G10" s="493"/>
      <c r="H10" s="493"/>
      <c r="I10" s="495"/>
      <c r="J10" s="495"/>
    </row>
    <row r="11" spans="2:16" x14ac:dyDescent="0.25">
      <c r="B11" s="46">
        <f t="shared" ref="B11:B22" si="0">+B10+1</f>
        <v>3</v>
      </c>
      <c r="C11" s="47" t="s">
        <v>123</v>
      </c>
      <c r="D11" s="494">
        <v>0</v>
      </c>
      <c r="E11" s="493"/>
      <c r="F11" s="493">
        <f>+D11</f>
        <v>0</v>
      </c>
      <c r="G11" s="493"/>
      <c r="H11" s="493"/>
      <c r="I11" s="495"/>
      <c r="J11" s="495"/>
    </row>
    <row r="12" spans="2:16" ht="30" x14ac:dyDescent="0.25">
      <c r="B12" s="46">
        <f t="shared" si="0"/>
        <v>4</v>
      </c>
      <c r="C12" s="47" t="s">
        <v>124</v>
      </c>
      <c r="D12" s="494">
        <v>3349350</v>
      </c>
      <c r="E12" s="493"/>
      <c r="F12" s="493">
        <f>+D12</f>
        <v>3349350</v>
      </c>
      <c r="G12" s="493"/>
      <c r="H12" s="493"/>
      <c r="I12" s="495"/>
      <c r="J12" s="495"/>
    </row>
    <row r="13" spans="2:16" x14ac:dyDescent="0.25">
      <c r="B13" s="46">
        <f t="shared" si="0"/>
        <v>5</v>
      </c>
      <c r="C13" s="47" t="s">
        <v>125</v>
      </c>
      <c r="D13" s="494">
        <v>2867198</v>
      </c>
      <c r="E13" s="493"/>
      <c r="F13" s="493"/>
      <c r="G13" s="493"/>
      <c r="H13" s="493"/>
      <c r="I13" s="495">
        <f>+D13</f>
        <v>2867198</v>
      </c>
      <c r="J13" s="495"/>
    </row>
    <row r="14" spans="2:16" x14ac:dyDescent="0.25">
      <c r="B14" s="46">
        <f t="shared" si="0"/>
        <v>6</v>
      </c>
      <c r="C14" s="47" t="s">
        <v>126</v>
      </c>
      <c r="D14" s="494">
        <v>303825</v>
      </c>
      <c r="E14" s="493"/>
      <c r="F14" s="493">
        <f>+D14-J14-I14</f>
        <v>128781.353</v>
      </c>
      <c r="G14" s="493"/>
      <c r="H14" s="493"/>
      <c r="I14" s="495">
        <f>22290+12893</f>
        <v>35183</v>
      </c>
      <c r="J14" s="495">
        <f>-'6'!D31</f>
        <v>139860.647</v>
      </c>
    </row>
    <row r="15" spans="2:16" x14ac:dyDescent="0.25">
      <c r="B15" s="46">
        <f t="shared" si="0"/>
        <v>7</v>
      </c>
      <c r="C15" s="47" t="s">
        <v>127</v>
      </c>
      <c r="D15" s="494">
        <v>45132</v>
      </c>
      <c r="E15" s="493"/>
      <c r="F15" s="493">
        <f>+D15</f>
        <v>45132</v>
      </c>
      <c r="G15" s="493"/>
      <c r="H15" s="493"/>
      <c r="I15" s="495"/>
      <c r="J15" s="495"/>
    </row>
    <row r="16" spans="2:16" x14ac:dyDescent="0.25">
      <c r="B16" s="46">
        <f t="shared" si="0"/>
        <v>8</v>
      </c>
      <c r="C16" s="47" t="s">
        <v>128</v>
      </c>
      <c r="D16" s="494">
        <v>659597</v>
      </c>
      <c r="E16" s="493"/>
      <c r="F16" s="493"/>
      <c r="G16" s="493"/>
      <c r="H16" s="493"/>
      <c r="I16" s="495"/>
      <c r="J16" s="495">
        <f>+D16</f>
        <v>659597</v>
      </c>
    </row>
    <row r="17" spans="2:12" x14ac:dyDescent="0.25">
      <c r="B17" s="46">
        <f t="shared" si="0"/>
        <v>9</v>
      </c>
      <c r="C17" s="47" t="s">
        <v>129</v>
      </c>
      <c r="D17" s="494">
        <v>74751</v>
      </c>
      <c r="E17" s="493"/>
      <c r="F17" s="493">
        <f>+D17</f>
        <v>74751</v>
      </c>
      <c r="G17" s="493"/>
      <c r="H17" s="493"/>
      <c r="I17" s="495"/>
      <c r="J17" s="495"/>
    </row>
    <row r="18" spans="2:12" x14ac:dyDescent="0.25">
      <c r="B18" s="46">
        <f t="shared" si="0"/>
        <v>10</v>
      </c>
      <c r="C18" s="47" t="s">
        <v>130</v>
      </c>
      <c r="D18" s="494">
        <v>2776</v>
      </c>
      <c r="E18" s="493"/>
      <c r="F18" s="493">
        <f>+D18</f>
        <v>2776</v>
      </c>
      <c r="G18" s="493"/>
      <c r="H18" s="493"/>
      <c r="I18" s="495"/>
      <c r="J18" s="495"/>
    </row>
    <row r="19" spans="2:12" x14ac:dyDescent="0.25">
      <c r="B19" s="46">
        <f t="shared" si="0"/>
        <v>11</v>
      </c>
      <c r="C19" s="47" t="s">
        <v>131</v>
      </c>
      <c r="D19" s="494">
        <v>0</v>
      </c>
      <c r="E19" s="493"/>
      <c r="F19" s="493">
        <f>+D19</f>
        <v>0</v>
      </c>
      <c r="G19" s="493"/>
      <c r="H19" s="493"/>
      <c r="I19" s="495"/>
      <c r="J19" s="495"/>
    </row>
    <row r="20" spans="2:12" x14ac:dyDescent="0.25">
      <c r="B20" s="457">
        <f t="shared" si="0"/>
        <v>12</v>
      </c>
      <c r="C20" s="47" t="s">
        <v>1507</v>
      </c>
      <c r="D20" s="494">
        <v>1255</v>
      </c>
      <c r="E20" s="493"/>
      <c r="F20" s="493">
        <f>+D20</f>
        <v>1255</v>
      </c>
      <c r="G20" s="493"/>
      <c r="H20" s="493"/>
      <c r="I20" s="495"/>
      <c r="J20" s="495"/>
    </row>
    <row r="21" spans="2:12" x14ac:dyDescent="0.25">
      <c r="B21" s="46">
        <f>+B20+1</f>
        <v>13</v>
      </c>
      <c r="C21" s="47" t="s">
        <v>132</v>
      </c>
      <c r="D21" s="494">
        <v>140661</v>
      </c>
      <c r="E21" s="493"/>
      <c r="F21" s="493">
        <f>+D21-I21</f>
        <v>131543</v>
      </c>
      <c r="G21" s="493"/>
      <c r="H21" s="493"/>
      <c r="I21" s="495">
        <v>9118</v>
      </c>
      <c r="J21" s="495"/>
    </row>
    <row r="22" spans="2:12" x14ac:dyDescent="0.25">
      <c r="B22" s="46">
        <f t="shared" si="0"/>
        <v>14</v>
      </c>
      <c r="C22" s="47" t="s">
        <v>133</v>
      </c>
      <c r="D22" s="494">
        <v>6988</v>
      </c>
      <c r="E22" s="493"/>
      <c r="F22" s="493">
        <f>+D22</f>
        <v>6988</v>
      </c>
      <c r="G22" s="493"/>
      <c r="H22" s="493"/>
      <c r="I22" s="495"/>
      <c r="J22" s="495"/>
    </row>
    <row r="23" spans="2:12" x14ac:dyDescent="0.25">
      <c r="B23" s="51"/>
      <c r="C23" s="52" t="s">
        <v>134</v>
      </c>
      <c r="D23" s="494">
        <f>SUM(D9:D22)</f>
        <v>8774914</v>
      </c>
      <c r="E23" s="493"/>
      <c r="F23" s="494">
        <f t="shared" ref="F23:J23" si="1">SUM(F9:F22)</f>
        <v>5063957.3530000001</v>
      </c>
      <c r="G23" s="494">
        <f t="shared" si="1"/>
        <v>0</v>
      </c>
      <c r="H23" s="494">
        <f t="shared" si="1"/>
        <v>0</v>
      </c>
      <c r="I23" s="494">
        <f t="shared" si="1"/>
        <v>2911499</v>
      </c>
      <c r="J23" s="494">
        <f t="shared" si="1"/>
        <v>799457.647</v>
      </c>
      <c r="L23" s="359"/>
    </row>
    <row r="24" spans="2:12" x14ac:dyDescent="0.25">
      <c r="B24" s="46"/>
      <c r="C24" s="47"/>
      <c r="D24" s="48"/>
      <c r="E24" s="49"/>
      <c r="F24" s="49"/>
      <c r="G24" s="49"/>
      <c r="H24" s="49"/>
      <c r="I24" s="50"/>
      <c r="J24" s="50"/>
    </row>
    <row r="25" spans="2:12" ht="45" x14ac:dyDescent="0.25">
      <c r="B25" s="46"/>
      <c r="C25" s="44" t="s">
        <v>135</v>
      </c>
      <c r="D25" s="53"/>
      <c r="E25" s="54"/>
      <c r="F25" s="54"/>
      <c r="G25" s="54"/>
      <c r="H25" s="54"/>
      <c r="I25" s="54"/>
      <c r="J25" s="54"/>
    </row>
    <row r="26" spans="2:12" x14ac:dyDescent="0.25">
      <c r="B26" s="55" t="s">
        <v>136</v>
      </c>
      <c r="C26" s="47" t="s">
        <v>137</v>
      </c>
      <c r="D26" s="494">
        <v>159226</v>
      </c>
      <c r="E26" s="493"/>
      <c r="F26" s="493"/>
      <c r="G26" s="493"/>
      <c r="H26" s="493"/>
      <c r="I26" s="495"/>
      <c r="J26" s="495">
        <f>+D26</f>
        <v>159226</v>
      </c>
    </row>
    <row r="27" spans="2:12" x14ac:dyDescent="0.25">
      <c r="B27" s="55">
        <f>+B26+1</f>
        <v>2</v>
      </c>
      <c r="C27" s="47" t="s">
        <v>138</v>
      </c>
      <c r="D27" s="494">
        <v>6625213</v>
      </c>
      <c r="E27" s="493"/>
      <c r="F27" s="493"/>
      <c r="G27" s="493"/>
      <c r="H27" s="493"/>
      <c r="I27" s="495"/>
      <c r="J27" s="495">
        <f t="shared" ref="J27:J39" si="2">+D27</f>
        <v>6625213</v>
      </c>
    </row>
    <row r="28" spans="2:12" x14ac:dyDescent="0.25">
      <c r="B28" s="55">
        <f t="shared" ref="B28:B39" si="3">+B27+1</f>
        <v>3</v>
      </c>
      <c r="C28" s="47" t="s">
        <v>139</v>
      </c>
      <c r="D28" s="494">
        <v>659597</v>
      </c>
      <c r="E28" s="493"/>
      <c r="F28" s="493"/>
      <c r="G28" s="493"/>
      <c r="H28" s="493"/>
      <c r="I28" s="495"/>
      <c r="J28" s="495">
        <f t="shared" si="2"/>
        <v>659597</v>
      </c>
    </row>
    <row r="29" spans="2:12" x14ac:dyDescent="0.25">
      <c r="B29" s="55">
        <f t="shared" si="3"/>
        <v>4</v>
      </c>
      <c r="C29" s="47" t="s">
        <v>1508</v>
      </c>
      <c r="D29" s="494">
        <v>28681</v>
      </c>
      <c r="E29" s="493"/>
      <c r="F29" s="493"/>
      <c r="G29" s="493"/>
      <c r="H29" s="493"/>
      <c r="I29" s="495"/>
      <c r="J29" s="495">
        <f t="shared" si="2"/>
        <v>28681</v>
      </c>
    </row>
    <row r="30" spans="2:12" x14ac:dyDescent="0.25">
      <c r="B30" s="55">
        <f t="shared" si="3"/>
        <v>5</v>
      </c>
      <c r="C30" s="47" t="s">
        <v>140</v>
      </c>
      <c r="D30" s="494">
        <v>47578</v>
      </c>
      <c r="E30" s="493"/>
      <c r="F30" s="493"/>
      <c r="G30" s="493"/>
      <c r="H30" s="493"/>
      <c r="I30" s="495"/>
      <c r="J30" s="495">
        <f t="shared" si="2"/>
        <v>47578</v>
      </c>
    </row>
    <row r="31" spans="2:12" x14ac:dyDescent="0.25">
      <c r="B31" s="55">
        <f t="shared" si="3"/>
        <v>6</v>
      </c>
      <c r="C31" s="47" t="s">
        <v>133</v>
      </c>
      <c r="D31" s="494">
        <v>13597</v>
      </c>
      <c r="E31" s="493"/>
      <c r="F31" s="493"/>
      <c r="G31" s="493"/>
      <c r="H31" s="493"/>
      <c r="I31" s="495"/>
      <c r="J31" s="495">
        <f t="shared" si="2"/>
        <v>13597</v>
      </c>
    </row>
    <row r="32" spans="2:12" ht="30" x14ac:dyDescent="0.25">
      <c r="B32" s="55">
        <f t="shared" si="3"/>
        <v>7</v>
      </c>
      <c r="C32" s="47" t="s">
        <v>141</v>
      </c>
      <c r="D32" s="494">
        <v>917</v>
      </c>
      <c r="E32" s="493"/>
      <c r="F32" s="493"/>
      <c r="G32" s="493"/>
      <c r="H32" s="493"/>
      <c r="I32" s="495"/>
      <c r="J32" s="495">
        <f t="shared" si="2"/>
        <v>917</v>
      </c>
    </row>
    <row r="33" spans="2:10" x14ac:dyDescent="0.25">
      <c r="B33" s="55">
        <f t="shared" si="3"/>
        <v>8</v>
      </c>
      <c r="C33" s="47" t="s">
        <v>142</v>
      </c>
      <c r="D33" s="494">
        <v>0</v>
      </c>
      <c r="E33" s="493"/>
      <c r="F33" s="493"/>
      <c r="G33" s="493"/>
      <c r="H33" s="493"/>
      <c r="I33" s="495"/>
      <c r="J33" s="495">
        <f t="shared" si="2"/>
        <v>0</v>
      </c>
    </row>
    <row r="34" spans="2:10" x14ac:dyDescent="0.25">
      <c r="B34" s="55">
        <f t="shared" si="3"/>
        <v>9</v>
      </c>
      <c r="C34" s="47" t="s">
        <v>143</v>
      </c>
      <c r="D34" s="494">
        <v>24401</v>
      </c>
      <c r="E34" s="493"/>
      <c r="F34" s="493"/>
      <c r="G34" s="493"/>
      <c r="H34" s="493"/>
      <c r="I34" s="495"/>
      <c r="J34" s="495">
        <f t="shared" si="2"/>
        <v>24401</v>
      </c>
    </row>
    <row r="35" spans="2:10" x14ac:dyDescent="0.25">
      <c r="B35" s="55">
        <f t="shared" si="3"/>
        <v>10</v>
      </c>
      <c r="C35" s="47" t="s">
        <v>144</v>
      </c>
      <c r="D35" s="494">
        <v>75810</v>
      </c>
      <c r="E35" s="493"/>
      <c r="F35" s="493"/>
      <c r="G35" s="493"/>
      <c r="H35" s="493"/>
      <c r="I35" s="495"/>
      <c r="J35" s="495">
        <f t="shared" si="2"/>
        <v>75810</v>
      </c>
    </row>
    <row r="36" spans="2:10" x14ac:dyDescent="0.25">
      <c r="B36" s="55">
        <f t="shared" si="3"/>
        <v>11</v>
      </c>
      <c r="C36" s="47" t="s">
        <v>145</v>
      </c>
      <c r="D36" s="494">
        <v>5189</v>
      </c>
      <c r="E36" s="493"/>
      <c r="F36" s="493"/>
      <c r="G36" s="493"/>
      <c r="H36" s="493"/>
      <c r="I36" s="495"/>
      <c r="J36" s="495">
        <f t="shared" si="2"/>
        <v>5189</v>
      </c>
    </row>
    <row r="37" spans="2:10" x14ac:dyDescent="0.25">
      <c r="B37" s="55">
        <f t="shared" si="3"/>
        <v>12</v>
      </c>
      <c r="C37" s="47" t="s">
        <v>146</v>
      </c>
      <c r="D37" s="494">
        <v>2202</v>
      </c>
      <c r="E37" s="493"/>
      <c r="F37" s="493"/>
      <c r="G37" s="493"/>
      <c r="H37" s="493"/>
      <c r="I37" s="495"/>
      <c r="J37" s="495">
        <f t="shared" si="2"/>
        <v>2202</v>
      </c>
    </row>
    <row r="38" spans="2:10" x14ac:dyDescent="0.25">
      <c r="B38" s="55">
        <f t="shared" si="3"/>
        <v>13</v>
      </c>
      <c r="C38" s="47" t="s">
        <v>147</v>
      </c>
      <c r="D38" s="494">
        <v>1122409</v>
      </c>
      <c r="E38" s="493"/>
      <c r="F38" s="493"/>
      <c r="G38" s="493"/>
      <c r="H38" s="493"/>
      <c r="I38" s="495"/>
      <c r="J38" s="495">
        <f t="shared" si="2"/>
        <v>1122409</v>
      </c>
    </row>
    <row r="39" spans="2:10" x14ac:dyDescent="0.25">
      <c r="B39" s="55">
        <f t="shared" si="3"/>
        <v>14</v>
      </c>
      <c r="C39" s="47" t="s">
        <v>148</v>
      </c>
      <c r="D39" s="494">
        <v>10094</v>
      </c>
      <c r="E39" s="493"/>
      <c r="F39" s="493"/>
      <c r="G39" s="493"/>
      <c r="H39" s="493"/>
      <c r="I39" s="495"/>
      <c r="J39" s="495">
        <f t="shared" si="2"/>
        <v>10094</v>
      </c>
    </row>
    <row r="40" spans="2:10" x14ac:dyDescent="0.25">
      <c r="B40" s="56"/>
      <c r="C40" s="52" t="s">
        <v>149</v>
      </c>
      <c r="D40" s="494">
        <f>SUM(D26:D39)</f>
        <v>8774914</v>
      </c>
      <c r="E40" s="493"/>
      <c r="F40" s="493"/>
      <c r="G40" s="493"/>
      <c r="H40" s="493"/>
      <c r="I40" s="495"/>
      <c r="J40" s="495">
        <f>SUM(J26:J39)</f>
        <v>8774914</v>
      </c>
    </row>
    <row r="41" spans="2:10" x14ac:dyDescent="0.25">
      <c r="C41" s="914"/>
      <c r="D41" s="914"/>
    </row>
    <row r="42" spans="2:10" x14ac:dyDescent="0.25">
      <c r="C42" s="914"/>
      <c r="D42" s="914"/>
    </row>
    <row r="43" spans="2:10" x14ac:dyDescent="0.25">
      <c r="C43" s="915"/>
      <c r="D43" s="915"/>
    </row>
    <row r="44" spans="2:10" x14ac:dyDescent="0.25">
      <c r="C44" s="916"/>
      <c r="D44" s="916"/>
    </row>
    <row r="45" spans="2:10" x14ac:dyDescent="0.25">
      <c r="C45" s="917"/>
      <c r="D45" s="917"/>
    </row>
    <row r="46" spans="2:10" x14ac:dyDescent="0.25">
      <c r="C46" s="917"/>
      <c r="D46" s="917"/>
    </row>
    <row r="47" spans="2:10" x14ac:dyDescent="0.25">
      <c r="C47" s="918"/>
      <c r="D47" s="918"/>
    </row>
    <row r="48" spans="2:10" x14ac:dyDescent="0.25">
      <c r="C48" s="918"/>
      <c r="D48" s="918"/>
    </row>
    <row r="49" spans="3:4" x14ac:dyDescent="0.25">
      <c r="C49" s="906"/>
      <c r="D49" s="906"/>
    </row>
    <row r="50" spans="3:4" x14ac:dyDescent="0.25">
      <c r="C50" s="918"/>
      <c r="D50" s="918"/>
    </row>
    <row r="51" spans="3:4" x14ac:dyDescent="0.25">
      <c r="C51" s="906"/>
      <c r="D51" s="906"/>
    </row>
    <row r="52" spans="3:4" x14ac:dyDescent="0.25">
      <c r="C52" s="918"/>
      <c r="D52" s="918"/>
    </row>
    <row r="53" spans="3:4" x14ac:dyDescent="0.25">
      <c r="C53" s="906"/>
      <c r="D53" s="906"/>
    </row>
    <row r="54" spans="3:4" x14ac:dyDescent="0.25">
      <c r="C54" s="918"/>
      <c r="D54" s="918"/>
    </row>
    <row r="55" spans="3:4" x14ac:dyDescent="0.25">
      <c r="C55" s="906"/>
      <c r="D55" s="906"/>
    </row>
    <row r="56" spans="3:4" x14ac:dyDescent="0.25">
      <c r="C56" s="916"/>
      <c r="D56" s="916"/>
    </row>
    <row r="57" spans="3:4" x14ac:dyDescent="0.25">
      <c r="C57" s="906"/>
      <c r="D57" s="906"/>
    </row>
    <row r="58" spans="3:4" x14ac:dyDescent="0.25">
      <c r="C58" s="918"/>
      <c r="D58" s="918"/>
    </row>
    <row r="59" spans="3:4" x14ac:dyDescent="0.25">
      <c r="C59" s="918"/>
      <c r="D59" s="918"/>
    </row>
    <row r="60" spans="3:4" x14ac:dyDescent="0.25">
      <c r="C60" s="918"/>
      <c r="D60" s="918"/>
    </row>
    <row r="61" spans="3:4" x14ac:dyDescent="0.25">
      <c r="C61" s="906"/>
      <c r="D61" s="906"/>
    </row>
  </sheetData>
  <mergeCells count="24">
    <mergeCell ref="C61:D61"/>
    <mergeCell ref="C50:D50"/>
    <mergeCell ref="C51:D51"/>
    <mergeCell ref="C52:D52"/>
    <mergeCell ref="C53:D53"/>
    <mergeCell ref="C54:D54"/>
    <mergeCell ref="C55:D55"/>
    <mergeCell ref="C56:D56"/>
    <mergeCell ref="C57:D57"/>
    <mergeCell ref="C58:D58"/>
    <mergeCell ref="C59:D59"/>
    <mergeCell ref="C60:D60"/>
    <mergeCell ref="C49:D49"/>
    <mergeCell ref="D6:D7"/>
    <mergeCell ref="E6:E7"/>
    <mergeCell ref="F6:J6"/>
    <mergeCell ref="C41:D41"/>
    <mergeCell ref="C42:D42"/>
    <mergeCell ref="C43:D43"/>
    <mergeCell ref="C44:D44"/>
    <mergeCell ref="C45:D45"/>
    <mergeCell ref="C46:D46"/>
    <mergeCell ref="C47:D47"/>
    <mergeCell ref="C48:D48"/>
  </mergeCells>
  <hyperlinks>
    <hyperlink ref="B2" location="Indhold!B7" display="Skema EU LI1 – Forskelle mellem de regnskabsmæssige rammer og rammerne for tilsynsmæssig konsolidering og sammenstilling af regnskabskategorierne og lovmæssigt fastsatte risikokategorier " xr:uid="{404A71B7-497E-486B-A1A3-1765A5F30784}"/>
  </hyperlinks>
  <pageMargins left="0.7" right="0.7" top="0.75" bottom="0.75" header="0.3" footer="0.3"/>
  <pageSetup paperSize="9" scale="65" orientation="landscape" horizontalDpi="1200" verticalDpi="1200" r:id="rId1"/>
  <headerFooter>
    <oddHeader>&amp;CDA
Bilag V</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8BA6-4208-4C51-8CDD-DD28A4169483}">
  <sheetPr>
    <tabColor rgb="FFFF0000"/>
    <pageSetUpPr fitToPage="1"/>
  </sheetPr>
  <dimension ref="A1:P36"/>
  <sheetViews>
    <sheetView showGridLines="0" zoomScaleNormal="100" zoomScalePageLayoutView="80" workbookViewId="0"/>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x14ac:dyDescent="0.25">
      <c r="A1" s="878" t="s">
        <v>838</v>
      </c>
    </row>
    <row r="4" spans="1:16" x14ac:dyDescent="0.25">
      <c r="B4" s="288"/>
    </row>
    <row r="5" spans="1:16" ht="17.25" customHeight="1" x14ac:dyDescent="0.25">
      <c r="A5" s="1265" t="s">
        <v>772</v>
      </c>
      <c r="B5" s="1266"/>
      <c r="C5" s="1251" t="s">
        <v>839</v>
      </c>
      <c r="D5" s="1246" t="s">
        <v>840</v>
      </c>
      <c r="E5" s="1264"/>
      <c r="F5" s="1264"/>
      <c r="G5" s="1264"/>
      <c r="H5" s="1264"/>
      <c r="I5" s="1264"/>
      <c r="J5" s="1264"/>
      <c r="K5" s="1264"/>
      <c r="L5" s="1264"/>
      <c r="M5" s="1264"/>
      <c r="N5" s="1247"/>
      <c r="O5" s="1246" t="s">
        <v>841</v>
      </c>
      <c r="P5" s="1247"/>
    </row>
    <row r="6" spans="1:16" ht="24.75" customHeight="1" x14ac:dyDescent="0.25">
      <c r="A6" s="1267"/>
      <c r="B6" s="1268"/>
      <c r="C6" s="1252"/>
      <c r="D6" s="1248" t="s">
        <v>842</v>
      </c>
      <c r="E6" s="1249"/>
      <c r="F6" s="1249"/>
      <c r="G6" s="1249"/>
      <c r="H6" s="1249"/>
      <c r="I6" s="1249"/>
      <c r="J6" s="1249"/>
      <c r="K6" s="1249"/>
      <c r="L6" s="1250"/>
      <c r="M6" s="1248" t="s">
        <v>843</v>
      </c>
      <c r="N6" s="1250"/>
      <c r="O6" s="1251" t="s">
        <v>844</v>
      </c>
      <c r="P6" s="1254" t="s">
        <v>845</v>
      </c>
    </row>
    <row r="7" spans="1:16" x14ac:dyDescent="0.25">
      <c r="A7" s="1267"/>
      <c r="B7" s="1268"/>
      <c r="C7" s="1252"/>
      <c r="D7" s="1251" t="s">
        <v>846</v>
      </c>
      <c r="E7" s="1257" t="s">
        <v>847</v>
      </c>
      <c r="F7" s="289"/>
      <c r="G7" s="289"/>
      <c r="H7" s="289"/>
      <c r="I7" s="1257" t="s">
        <v>848</v>
      </c>
      <c r="J7" s="289"/>
      <c r="K7" s="289"/>
      <c r="L7" s="289"/>
      <c r="M7" s="1251" t="s">
        <v>849</v>
      </c>
      <c r="N7" s="1251" t="s">
        <v>850</v>
      </c>
      <c r="O7" s="1252"/>
      <c r="P7" s="1255"/>
    </row>
    <row r="8" spans="1:16" ht="78.75" customHeight="1" x14ac:dyDescent="0.25">
      <c r="A8" s="1267"/>
      <c r="B8" s="1268"/>
      <c r="C8" s="290"/>
      <c r="D8" s="1253"/>
      <c r="E8" s="1253"/>
      <c r="F8" s="291" t="s">
        <v>851</v>
      </c>
      <c r="G8" s="291" t="s">
        <v>852</v>
      </c>
      <c r="H8" s="291" t="s">
        <v>853</v>
      </c>
      <c r="I8" s="1253"/>
      <c r="J8" s="291" t="s">
        <v>854</v>
      </c>
      <c r="K8" s="291" t="s">
        <v>855</v>
      </c>
      <c r="L8" s="291" t="s">
        <v>856</v>
      </c>
      <c r="M8" s="1253"/>
      <c r="N8" s="1253"/>
      <c r="O8" s="1253"/>
      <c r="P8" s="1256"/>
    </row>
    <row r="9" spans="1:16" x14ac:dyDescent="0.25">
      <c r="A9" s="1269"/>
      <c r="B9" s="1270"/>
      <c r="C9" s="292" t="s">
        <v>105</v>
      </c>
      <c r="D9" s="292" t="s">
        <v>104</v>
      </c>
      <c r="E9" s="292" t="s">
        <v>99</v>
      </c>
      <c r="F9" s="292" t="s">
        <v>98</v>
      </c>
      <c r="G9" s="292" t="s">
        <v>97</v>
      </c>
      <c r="H9" s="292" t="s">
        <v>113</v>
      </c>
      <c r="I9" s="292" t="s">
        <v>114</v>
      </c>
      <c r="J9" s="292" t="s">
        <v>169</v>
      </c>
      <c r="K9" s="292" t="s">
        <v>328</v>
      </c>
      <c r="L9" s="292" t="s">
        <v>329</v>
      </c>
      <c r="M9" s="292" t="s">
        <v>330</v>
      </c>
      <c r="N9" s="292" t="s">
        <v>331</v>
      </c>
      <c r="O9" s="292" t="s">
        <v>332</v>
      </c>
      <c r="P9" s="292" t="s">
        <v>359</v>
      </c>
    </row>
    <row r="10" spans="1:16" x14ac:dyDescent="0.25">
      <c r="A10" s="21">
        <v>1</v>
      </c>
      <c r="B10" s="293" t="s">
        <v>827</v>
      </c>
      <c r="C10" s="21"/>
      <c r="D10" s="294"/>
      <c r="E10" s="294"/>
      <c r="F10" s="294"/>
      <c r="G10" s="294"/>
      <c r="H10" s="294"/>
      <c r="I10" s="294"/>
      <c r="J10" s="294"/>
      <c r="K10" s="294"/>
      <c r="L10" s="294"/>
      <c r="M10" s="294"/>
      <c r="N10" s="295"/>
      <c r="O10" s="21"/>
      <c r="P10" s="21"/>
    </row>
    <row r="11" spans="1:16" x14ac:dyDescent="0.25">
      <c r="A11" s="21">
        <v>2</v>
      </c>
      <c r="B11" s="293" t="s">
        <v>481</v>
      </c>
      <c r="C11" s="21"/>
      <c r="D11" s="21"/>
      <c r="E11" s="21"/>
      <c r="F11" s="21"/>
      <c r="G11" s="21"/>
      <c r="H11" s="21"/>
      <c r="I11" s="21"/>
      <c r="J11" s="21"/>
      <c r="K11" s="21"/>
      <c r="L11" s="21"/>
      <c r="M11" s="21"/>
      <c r="N11" s="296"/>
      <c r="O11" s="21"/>
      <c r="P11" s="21"/>
    </row>
    <row r="12" spans="1:16" x14ac:dyDescent="0.25">
      <c r="A12" s="21">
        <v>3</v>
      </c>
      <c r="B12" s="293" t="s">
        <v>487</v>
      </c>
      <c r="C12" s="21"/>
      <c r="D12" s="21"/>
      <c r="E12" s="21"/>
      <c r="F12" s="21"/>
      <c r="G12" s="21"/>
      <c r="H12" s="21"/>
      <c r="I12" s="21"/>
      <c r="J12" s="21"/>
      <c r="K12" s="21"/>
      <c r="L12" s="21"/>
      <c r="M12" s="21"/>
      <c r="N12" s="296"/>
      <c r="O12" s="21"/>
      <c r="P12" s="21"/>
    </row>
    <row r="13" spans="1:16" x14ac:dyDescent="0.25">
      <c r="A13" s="297">
        <v>3.1</v>
      </c>
      <c r="B13" s="298" t="s">
        <v>829</v>
      </c>
      <c r="C13" s="21"/>
      <c r="D13" s="21"/>
      <c r="E13" s="21"/>
      <c r="F13" s="21"/>
      <c r="G13" s="21"/>
      <c r="H13" s="21"/>
      <c r="I13" s="21"/>
      <c r="J13" s="21"/>
      <c r="K13" s="21"/>
      <c r="L13" s="21"/>
      <c r="M13" s="21"/>
      <c r="N13" s="296"/>
      <c r="O13" s="21"/>
      <c r="P13" s="21"/>
    </row>
    <row r="14" spans="1:16" x14ac:dyDescent="0.25">
      <c r="A14" s="297">
        <v>3.2</v>
      </c>
      <c r="B14" s="298" t="s">
        <v>830</v>
      </c>
      <c r="C14" s="21"/>
      <c r="D14" s="21"/>
      <c r="E14" s="21"/>
      <c r="F14" s="21"/>
      <c r="G14" s="21"/>
      <c r="H14" s="21"/>
      <c r="I14" s="21"/>
      <c r="J14" s="21"/>
      <c r="K14" s="21"/>
      <c r="L14" s="21"/>
      <c r="M14" s="21"/>
      <c r="N14" s="296"/>
      <c r="O14" s="21"/>
      <c r="P14" s="21"/>
    </row>
    <row r="15" spans="1:16" x14ac:dyDescent="0.25">
      <c r="A15" s="297">
        <v>3.3</v>
      </c>
      <c r="B15" s="298" t="s">
        <v>857</v>
      </c>
      <c r="C15" s="21"/>
      <c r="D15" s="21"/>
      <c r="E15" s="21"/>
      <c r="F15" s="21"/>
      <c r="G15" s="21"/>
      <c r="H15" s="21"/>
      <c r="I15" s="21"/>
      <c r="J15" s="21"/>
      <c r="K15" s="21"/>
      <c r="L15" s="21"/>
      <c r="M15" s="21"/>
      <c r="N15" s="296"/>
      <c r="O15" s="21"/>
      <c r="P15" s="21"/>
    </row>
    <row r="16" spans="1:16" x14ac:dyDescent="0.25">
      <c r="A16" s="21">
        <v>4</v>
      </c>
      <c r="B16" s="293" t="s">
        <v>755</v>
      </c>
      <c r="C16" s="21"/>
      <c r="D16" s="21"/>
      <c r="E16" s="21"/>
      <c r="F16" s="21"/>
      <c r="G16" s="21"/>
      <c r="H16" s="21"/>
      <c r="I16" s="21"/>
      <c r="J16" s="21"/>
      <c r="K16" s="21"/>
      <c r="L16" s="21"/>
      <c r="M16" s="21"/>
      <c r="N16" s="296"/>
      <c r="O16" s="21"/>
      <c r="P16" s="21"/>
    </row>
    <row r="17" spans="1:16" x14ac:dyDescent="0.25">
      <c r="A17" s="297">
        <v>4.0999999999999996</v>
      </c>
      <c r="B17" s="298" t="s">
        <v>858</v>
      </c>
      <c r="C17" s="21"/>
      <c r="D17" s="21"/>
      <c r="E17" s="21"/>
      <c r="F17" s="21"/>
      <c r="G17" s="21"/>
      <c r="H17" s="21"/>
      <c r="I17" s="21"/>
      <c r="J17" s="21"/>
      <c r="K17" s="21"/>
      <c r="L17" s="21"/>
      <c r="M17" s="21"/>
      <c r="N17" s="296"/>
      <c r="O17" s="21"/>
      <c r="P17" s="21"/>
    </row>
    <row r="18" spans="1:16" x14ac:dyDescent="0.25">
      <c r="A18" s="297">
        <v>4.2</v>
      </c>
      <c r="B18" s="298" t="s">
        <v>859</v>
      </c>
      <c r="C18" s="21"/>
      <c r="D18" s="21"/>
      <c r="E18" s="21"/>
      <c r="F18" s="21"/>
      <c r="G18" s="21"/>
      <c r="H18" s="21"/>
      <c r="I18" s="21"/>
      <c r="J18" s="21"/>
      <c r="K18" s="21"/>
      <c r="L18" s="21"/>
      <c r="M18" s="21"/>
      <c r="N18" s="296"/>
      <c r="O18" s="21"/>
      <c r="P18" s="21"/>
    </row>
    <row r="19" spans="1:16" x14ac:dyDescent="0.25">
      <c r="A19" s="297">
        <v>4.3</v>
      </c>
      <c r="B19" s="298" t="s">
        <v>818</v>
      </c>
      <c r="C19" s="21"/>
      <c r="D19" s="21"/>
      <c r="E19" s="21"/>
      <c r="F19" s="21"/>
      <c r="G19" s="21"/>
      <c r="H19" s="21"/>
      <c r="I19" s="21"/>
      <c r="J19" s="21"/>
      <c r="K19" s="21"/>
      <c r="L19" s="21"/>
      <c r="M19" s="21"/>
      <c r="N19" s="296"/>
      <c r="O19" s="21"/>
      <c r="P19" s="21"/>
    </row>
    <row r="20" spans="1:16" x14ac:dyDescent="0.25">
      <c r="A20" s="297">
        <v>4.4000000000000004</v>
      </c>
      <c r="B20" s="298" t="s">
        <v>819</v>
      </c>
      <c r="C20" s="21"/>
      <c r="D20" s="21"/>
      <c r="E20" s="21"/>
      <c r="F20" s="21"/>
      <c r="G20" s="21"/>
      <c r="H20" s="21"/>
      <c r="I20" s="21"/>
      <c r="J20" s="21"/>
      <c r="K20" s="21"/>
      <c r="L20" s="21"/>
      <c r="M20" s="21"/>
      <c r="N20" s="296"/>
      <c r="O20" s="21"/>
      <c r="P20" s="21"/>
    </row>
    <row r="21" spans="1:16" x14ac:dyDescent="0.25">
      <c r="A21" s="297">
        <v>4.5</v>
      </c>
      <c r="B21" s="298" t="s">
        <v>820</v>
      </c>
      <c r="C21" s="21"/>
      <c r="D21" s="21"/>
      <c r="E21" s="21"/>
      <c r="F21" s="21"/>
      <c r="G21" s="21"/>
      <c r="H21" s="21"/>
      <c r="I21" s="21"/>
      <c r="J21" s="21"/>
      <c r="K21" s="21"/>
      <c r="L21" s="21"/>
      <c r="M21" s="21"/>
      <c r="N21" s="296"/>
      <c r="O21" s="21"/>
      <c r="P21" s="21"/>
    </row>
    <row r="22" spans="1:16" x14ac:dyDescent="0.25">
      <c r="A22" s="21">
        <v>5</v>
      </c>
      <c r="B22" s="293" t="s">
        <v>0</v>
      </c>
      <c r="C22" s="21"/>
      <c r="D22" s="21"/>
      <c r="E22" s="21"/>
      <c r="F22" s="21"/>
      <c r="G22" s="21"/>
      <c r="H22" s="21"/>
      <c r="I22" s="21"/>
      <c r="J22" s="21"/>
      <c r="K22" s="21"/>
      <c r="L22" s="21"/>
      <c r="M22" s="21"/>
      <c r="N22" s="296"/>
      <c r="O22" s="21"/>
      <c r="P22" s="21"/>
    </row>
    <row r="25" spans="1:16" ht="17.25" customHeight="1" x14ac:dyDescent="0.25">
      <c r="A25" s="1258" t="s">
        <v>804</v>
      </c>
      <c r="B25" s="1259"/>
      <c r="C25" s="1251" t="s">
        <v>839</v>
      </c>
      <c r="D25" s="1246" t="s">
        <v>840</v>
      </c>
      <c r="E25" s="1264"/>
      <c r="F25" s="1264"/>
      <c r="G25" s="1264"/>
      <c r="H25" s="1264"/>
      <c r="I25" s="1264"/>
      <c r="J25" s="1264"/>
      <c r="K25" s="1264"/>
      <c r="L25" s="1264"/>
      <c r="M25" s="1264"/>
      <c r="N25" s="1247"/>
      <c r="O25" s="1246" t="s">
        <v>841</v>
      </c>
      <c r="P25" s="1247"/>
    </row>
    <row r="26" spans="1:16" ht="21" customHeight="1" x14ac:dyDescent="0.25">
      <c r="A26" s="1260"/>
      <c r="B26" s="1261"/>
      <c r="C26" s="1252"/>
      <c r="D26" s="1248" t="s">
        <v>842</v>
      </c>
      <c r="E26" s="1249"/>
      <c r="F26" s="1249"/>
      <c r="G26" s="1249"/>
      <c r="H26" s="1249"/>
      <c r="I26" s="1249"/>
      <c r="J26" s="1249"/>
      <c r="K26" s="1249"/>
      <c r="L26" s="1250"/>
      <c r="M26" s="1248" t="s">
        <v>843</v>
      </c>
      <c r="N26" s="1250"/>
      <c r="O26" s="1251" t="s">
        <v>844</v>
      </c>
      <c r="P26" s="1254" t="s">
        <v>845</v>
      </c>
    </row>
    <row r="27" spans="1:16" x14ac:dyDescent="0.25">
      <c r="A27" s="1260"/>
      <c r="B27" s="1261"/>
      <c r="C27" s="1252"/>
      <c r="D27" s="1251" t="s">
        <v>846</v>
      </c>
      <c r="E27" s="1257" t="s">
        <v>847</v>
      </c>
      <c r="F27" s="289"/>
      <c r="G27" s="289"/>
      <c r="H27" s="289"/>
      <c r="I27" s="1257" t="s">
        <v>848</v>
      </c>
      <c r="J27" s="289"/>
      <c r="K27" s="289"/>
      <c r="L27" s="289"/>
      <c r="M27" s="1251" t="s">
        <v>849</v>
      </c>
      <c r="N27" s="1251" t="s">
        <v>850</v>
      </c>
      <c r="O27" s="1252"/>
      <c r="P27" s="1255"/>
    </row>
    <row r="28" spans="1:16" ht="82.5" customHeight="1" x14ac:dyDescent="0.25">
      <c r="A28" s="1260"/>
      <c r="B28" s="1261"/>
      <c r="C28" s="290"/>
      <c r="D28" s="1253"/>
      <c r="E28" s="1253"/>
      <c r="F28" s="291" t="s">
        <v>851</v>
      </c>
      <c r="G28" s="291" t="s">
        <v>852</v>
      </c>
      <c r="H28" s="291" t="s">
        <v>853</v>
      </c>
      <c r="I28" s="1253"/>
      <c r="J28" s="291" t="s">
        <v>854</v>
      </c>
      <c r="K28" s="291" t="s">
        <v>855</v>
      </c>
      <c r="L28" s="291" t="s">
        <v>856</v>
      </c>
      <c r="M28" s="1253"/>
      <c r="N28" s="1253"/>
      <c r="O28" s="1253"/>
      <c r="P28" s="1256"/>
    </row>
    <row r="29" spans="1:16" x14ac:dyDescent="0.25">
      <c r="A29" s="1262"/>
      <c r="B29" s="1263"/>
      <c r="C29" s="299" t="s">
        <v>105</v>
      </c>
      <c r="D29" s="299" t="s">
        <v>104</v>
      </c>
      <c r="E29" s="299" t="s">
        <v>99</v>
      </c>
      <c r="F29" s="299" t="s">
        <v>98</v>
      </c>
      <c r="G29" s="299" t="s">
        <v>97</v>
      </c>
      <c r="H29" s="299" t="s">
        <v>113</v>
      </c>
      <c r="I29" s="299" t="s">
        <v>114</v>
      </c>
      <c r="J29" s="299" t="s">
        <v>169</v>
      </c>
      <c r="K29" s="299" t="s">
        <v>328</v>
      </c>
      <c r="L29" s="299" t="s">
        <v>329</v>
      </c>
      <c r="M29" s="299" t="s">
        <v>330</v>
      </c>
      <c r="N29" s="299" t="s">
        <v>331</v>
      </c>
      <c r="O29" s="299" t="s">
        <v>332</v>
      </c>
      <c r="P29" s="299" t="s">
        <v>359</v>
      </c>
    </row>
    <row r="30" spans="1:16" x14ac:dyDescent="0.25">
      <c r="A30" s="21">
        <v>1</v>
      </c>
      <c r="B30" s="293" t="s">
        <v>827</v>
      </c>
      <c r="C30" s="21"/>
      <c r="D30" s="294"/>
      <c r="E30" s="294"/>
      <c r="F30" s="294"/>
      <c r="G30" s="294"/>
      <c r="H30" s="294"/>
      <c r="I30" s="294"/>
      <c r="J30" s="294"/>
      <c r="K30" s="294"/>
      <c r="L30" s="294"/>
      <c r="M30" s="294"/>
      <c r="N30" s="295"/>
      <c r="O30" s="21"/>
      <c r="P30" s="21"/>
    </row>
    <row r="31" spans="1:16" x14ac:dyDescent="0.25">
      <c r="A31" s="21">
        <v>2</v>
      </c>
      <c r="B31" s="293" t="s">
        <v>481</v>
      </c>
      <c r="C31" s="21"/>
      <c r="D31" s="21"/>
      <c r="E31" s="21"/>
      <c r="F31" s="21"/>
      <c r="G31" s="21"/>
      <c r="H31" s="21"/>
      <c r="I31" s="21"/>
      <c r="J31" s="21"/>
      <c r="K31" s="21"/>
      <c r="L31" s="21"/>
      <c r="M31" s="21"/>
      <c r="N31" s="296"/>
      <c r="O31" s="21"/>
      <c r="P31" s="21"/>
    </row>
    <row r="32" spans="1:16" x14ac:dyDescent="0.25">
      <c r="A32" s="21">
        <v>3</v>
      </c>
      <c r="B32" s="293" t="s">
        <v>487</v>
      </c>
      <c r="C32" s="21"/>
      <c r="D32" s="21"/>
      <c r="E32" s="21"/>
      <c r="F32" s="21"/>
      <c r="G32" s="21"/>
      <c r="H32" s="21"/>
      <c r="I32" s="21"/>
      <c r="J32" s="21"/>
      <c r="K32" s="21"/>
      <c r="L32" s="21"/>
      <c r="M32" s="21"/>
      <c r="N32" s="296"/>
      <c r="O32" s="21"/>
      <c r="P32" s="21"/>
    </row>
    <row r="33" spans="1:16" x14ac:dyDescent="0.25">
      <c r="A33" s="297">
        <v>3.1</v>
      </c>
      <c r="B33" s="298" t="s">
        <v>829</v>
      </c>
      <c r="C33" s="21"/>
      <c r="D33" s="21"/>
      <c r="E33" s="21"/>
      <c r="F33" s="21"/>
      <c r="G33" s="21"/>
      <c r="H33" s="21"/>
      <c r="I33" s="21"/>
      <c r="J33" s="21"/>
      <c r="K33" s="21"/>
      <c r="L33" s="21"/>
      <c r="M33" s="21"/>
      <c r="N33" s="296"/>
      <c r="O33" s="21"/>
      <c r="P33" s="21"/>
    </row>
    <row r="34" spans="1:16" x14ac:dyDescent="0.25">
      <c r="A34" s="297">
        <v>3.2</v>
      </c>
      <c r="B34" s="298" t="s">
        <v>830</v>
      </c>
      <c r="C34" s="21"/>
      <c r="D34" s="21"/>
      <c r="E34" s="21"/>
      <c r="F34" s="21"/>
      <c r="G34" s="21"/>
      <c r="H34" s="21"/>
      <c r="I34" s="21"/>
      <c r="J34" s="21"/>
      <c r="K34" s="21"/>
      <c r="L34" s="21"/>
      <c r="M34" s="21"/>
      <c r="N34" s="296"/>
      <c r="O34" s="21"/>
      <c r="P34" s="21"/>
    </row>
    <row r="35" spans="1:16" x14ac:dyDescent="0.25">
      <c r="A35" s="297">
        <v>3.3</v>
      </c>
      <c r="B35" s="298" t="s">
        <v>857</v>
      </c>
      <c r="C35" s="21"/>
      <c r="D35" s="21"/>
      <c r="E35" s="21"/>
      <c r="F35" s="21"/>
      <c r="G35" s="21"/>
      <c r="H35" s="21"/>
      <c r="I35" s="21"/>
      <c r="J35" s="21"/>
      <c r="K35" s="21"/>
      <c r="L35" s="21"/>
      <c r="M35" s="21"/>
      <c r="N35" s="296"/>
      <c r="O35" s="21"/>
      <c r="P35" s="21"/>
    </row>
    <row r="36" spans="1:16" x14ac:dyDescent="0.25">
      <c r="A36" s="21">
        <v>4</v>
      </c>
      <c r="B36" s="293" t="s">
        <v>0</v>
      </c>
      <c r="C36" s="21"/>
      <c r="D36" s="21"/>
      <c r="E36" s="21"/>
      <c r="F36" s="21"/>
      <c r="G36" s="21"/>
      <c r="H36" s="21"/>
      <c r="I36" s="21"/>
      <c r="J36" s="21"/>
      <c r="K36" s="21"/>
      <c r="L36" s="21"/>
      <c r="M36" s="21"/>
      <c r="N36" s="296"/>
      <c r="O36" s="21"/>
      <c r="P36" s="21"/>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hyperlinks>
    <hyperlink ref="A1" location="Indhold!B79" display="Skema EU CR7-A – IRB-metoden – Offentliggørelse af omfanget af anvendelsen af kreditrisikoreduktionsteknikker" xr:uid="{721DAD86-72A0-4ADA-A4A5-7E4BED7E4B2F}"/>
  </hyperlinks>
  <pageMargins left="0.70866141732283472" right="0.70866141732283472" top="0.74803149606299213" bottom="0.74803149606299213" header="0.31496062992125984" footer="0.31496062992125984"/>
  <pageSetup paperSize="9" scale="46" fitToHeight="0" orientation="landscape" r:id="rId1"/>
  <headerFooter>
    <oddHeader>&amp;CDA
Bilag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43F9-9B95-4282-9A8D-4C551CF057F3}">
  <sheetPr>
    <tabColor rgb="FFFF0000"/>
    <pageSetUpPr fitToPage="1"/>
  </sheetPr>
  <dimension ref="A1:C15"/>
  <sheetViews>
    <sheetView showGridLines="0" zoomScaleNormal="100" workbookViewId="0"/>
  </sheetViews>
  <sheetFormatPr defaultColWidth="9.140625" defaultRowHeight="15" x14ac:dyDescent="0.25"/>
  <cols>
    <col min="1" max="1" width="3.5703125" customWidth="1"/>
    <col min="2" max="2" width="74.42578125" customWidth="1"/>
    <col min="3" max="3" width="43.28515625" customWidth="1"/>
  </cols>
  <sheetData>
    <row r="1" spans="1:3" ht="20.25" x14ac:dyDescent="0.3">
      <c r="A1" s="878" t="s">
        <v>860</v>
      </c>
      <c r="B1" s="265"/>
      <c r="C1" s="265"/>
    </row>
    <row r="5" spans="1:3" x14ac:dyDescent="0.25">
      <c r="A5" s="300"/>
      <c r="B5" s="300"/>
      <c r="C5" s="56" t="s">
        <v>861</v>
      </c>
    </row>
    <row r="6" spans="1:3" x14ac:dyDescent="0.25">
      <c r="B6" s="300"/>
      <c r="C6" s="46" t="s">
        <v>105</v>
      </c>
    </row>
    <row r="7" spans="1:3" x14ac:dyDescent="0.25">
      <c r="A7" s="56">
        <v>1</v>
      </c>
      <c r="B7" s="301" t="s">
        <v>862</v>
      </c>
      <c r="C7" s="21"/>
    </row>
    <row r="8" spans="1:3" x14ac:dyDescent="0.25">
      <c r="A8" s="46">
        <v>2</v>
      </c>
      <c r="B8" s="100" t="s">
        <v>863</v>
      </c>
      <c r="C8" s="21"/>
    </row>
    <row r="9" spans="1:3" x14ac:dyDescent="0.25">
      <c r="A9" s="46">
        <v>3</v>
      </c>
      <c r="B9" s="100" t="s">
        <v>864</v>
      </c>
      <c r="C9" s="21"/>
    </row>
    <row r="10" spans="1:3" x14ac:dyDescent="0.25">
      <c r="A10" s="46">
        <v>4</v>
      </c>
      <c r="B10" s="100" t="s">
        <v>865</v>
      </c>
      <c r="C10" s="21"/>
    </row>
    <row r="11" spans="1:3" x14ac:dyDescent="0.25">
      <c r="A11" s="46">
        <v>5</v>
      </c>
      <c r="B11" s="100" t="s">
        <v>866</v>
      </c>
      <c r="C11" s="21"/>
    </row>
    <row r="12" spans="1:3" x14ac:dyDescent="0.25">
      <c r="A12" s="46">
        <v>6</v>
      </c>
      <c r="B12" s="100" t="s">
        <v>867</v>
      </c>
      <c r="C12" s="21"/>
    </row>
    <row r="13" spans="1:3" x14ac:dyDescent="0.25">
      <c r="A13" s="46">
        <v>7</v>
      </c>
      <c r="B13" s="100" t="s">
        <v>868</v>
      </c>
      <c r="C13" s="21"/>
    </row>
    <row r="14" spans="1:3" x14ac:dyDescent="0.25">
      <c r="A14" s="46">
        <v>8</v>
      </c>
      <c r="B14" s="100" t="s">
        <v>869</v>
      </c>
      <c r="C14" s="21"/>
    </row>
    <row r="15" spans="1:3" x14ac:dyDescent="0.25">
      <c r="A15" s="56">
        <v>9</v>
      </c>
      <c r="B15" s="301" t="s">
        <v>870</v>
      </c>
      <c r="C15" s="21"/>
    </row>
  </sheetData>
  <hyperlinks>
    <hyperlink ref="A1" location="Indhold!B80" display="Skema EU CR8 - RWEA-flowtabeller for kreditrisikoeksponeringer i henhold til IRB-metoden. " xr:uid="{37EA7500-77FC-41A4-9A98-C9ED8221E7F9}"/>
  </hyperlinks>
  <pageMargins left="0.70866141732283472" right="0.70866141732283472" top="0.74803149606299213" bottom="0.74803149606299213" header="0.31496062992125984" footer="0.31496062992125984"/>
  <pageSetup paperSize="9" fitToHeight="0" orientation="landscape" r:id="rId1"/>
  <headerFooter>
    <oddHeader>&amp;CDA
Bilag XXI</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0AB8-1975-4E6E-A51F-FA204D19B6E8}">
  <sheetPr>
    <tabColor rgb="FFFF0000"/>
    <pageSetUpPr fitToPage="1"/>
  </sheetPr>
  <dimension ref="A4:I50"/>
  <sheetViews>
    <sheetView showGridLines="0" zoomScaleNormal="100" zoomScaleSheetLayoutView="100" zoomScalePageLayoutView="90" workbookViewId="0">
      <selection activeCell="B4" sqref="B4"/>
    </sheetView>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878" t="s">
        <v>871</v>
      </c>
      <c r="C4" s="57"/>
      <c r="D4" s="57"/>
      <c r="E4" s="57"/>
      <c r="F4" s="57"/>
      <c r="G4" s="57"/>
      <c r="H4" s="57"/>
    </row>
    <row r="5" spans="1:9" ht="18.75" x14ac:dyDescent="0.3">
      <c r="B5" s="302"/>
      <c r="C5" s="57"/>
      <c r="D5" s="57"/>
      <c r="E5" s="57"/>
      <c r="F5" s="57"/>
      <c r="G5" s="57"/>
      <c r="H5" s="57"/>
    </row>
    <row r="6" spans="1:9" ht="21" x14ac:dyDescent="0.35">
      <c r="B6" s="303" t="s">
        <v>772</v>
      </c>
      <c r="C6" s="304"/>
      <c r="D6" s="244"/>
      <c r="E6" s="244"/>
      <c r="F6" s="244"/>
      <c r="G6" s="244"/>
      <c r="H6" s="244"/>
    </row>
    <row r="7" spans="1:9" s="304" customFormat="1" ht="15" customHeight="1" x14ac:dyDescent="0.25">
      <c r="A7"/>
      <c r="B7" s="1276" t="s">
        <v>872</v>
      </c>
      <c r="C7" s="1276" t="s">
        <v>773</v>
      </c>
      <c r="D7" s="1278" t="s">
        <v>873</v>
      </c>
      <c r="E7" s="1279"/>
      <c r="F7" s="1276" t="s">
        <v>874</v>
      </c>
      <c r="G7" s="1274" t="s">
        <v>776</v>
      </c>
      <c r="H7" s="1276" t="s">
        <v>875</v>
      </c>
      <c r="I7" s="1274" t="s">
        <v>876</v>
      </c>
    </row>
    <row r="8" spans="1:9" s="304" customFormat="1" ht="25.5" x14ac:dyDescent="0.25">
      <c r="A8"/>
      <c r="B8" s="1277"/>
      <c r="C8" s="1277"/>
      <c r="D8" s="305"/>
      <c r="E8" s="306" t="s">
        <v>877</v>
      </c>
      <c r="F8" s="1277"/>
      <c r="G8" s="1275" t="s">
        <v>878</v>
      </c>
      <c r="H8" s="1277"/>
      <c r="I8" s="1275"/>
    </row>
    <row r="9" spans="1:9" x14ac:dyDescent="0.25">
      <c r="B9" s="33" t="s">
        <v>105</v>
      </c>
      <c r="C9" s="33" t="s">
        <v>104</v>
      </c>
      <c r="D9" s="184" t="s">
        <v>99</v>
      </c>
      <c r="E9" s="184" t="s">
        <v>98</v>
      </c>
      <c r="F9" s="184" t="s">
        <v>97</v>
      </c>
      <c r="G9" s="184" t="s">
        <v>113</v>
      </c>
      <c r="H9" s="184" t="s">
        <v>114</v>
      </c>
      <c r="I9" s="184" t="s">
        <v>169</v>
      </c>
    </row>
    <row r="10" spans="1:9" x14ac:dyDescent="0.25">
      <c r="B10" s="1271"/>
      <c r="C10" s="307" t="s">
        <v>785</v>
      </c>
      <c r="D10" s="256"/>
      <c r="E10" s="21"/>
      <c r="F10" s="21"/>
      <c r="G10" s="21"/>
      <c r="H10" s="21"/>
      <c r="I10" s="21"/>
    </row>
    <row r="11" spans="1:9" x14ac:dyDescent="0.25">
      <c r="B11" s="1272"/>
      <c r="C11" s="308" t="s">
        <v>786</v>
      </c>
      <c r="D11" s="256"/>
      <c r="E11" s="21"/>
      <c r="F11" s="21"/>
      <c r="G11" s="21"/>
      <c r="H11" s="21"/>
      <c r="I11" s="21"/>
    </row>
    <row r="12" spans="1:9" x14ac:dyDescent="0.25">
      <c r="B12" s="1272"/>
      <c r="C12" s="308" t="s">
        <v>787</v>
      </c>
      <c r="D12" s="256"/>
      <c r="E12" s="21"/>
      <c r="F12" s="21"/>
      <c r="G12" s="21"/>
      <c r="H12" s="21"/>
      <c r="I12" s="21"/>
    </row>
    <row r="13" spans="1:9" x14ac:dyDescent="0.25">
      <c r="B13" s="1272"/>
      <c r="C13" s="307" t="s">
        <v>788</v>
      </c>
      <c r="D13" s="256"/>
      <c r="E13" s="21"/>
      <c r="F13" s="21"/>
      <c r="G13" s="21"/>
      <c r="H13" s="21"/>
      <c r="I13" s="21"/>
    </row>
    <row r="14" spans="1:9" x14ac:dyDescent="0.25">
      <c r="B14" s="1272"/>
      <c r="C14" s="307" t="s">
        <v>789</v>
      </c>
      <c r="D14" s="256"/>
      <c r="E14" s="21"/>
      <c r="F14" s="21"/>
      <c r="G14" s="21"/>
      <c r="H14" s="21"/>
      <c r="I14" s="21"/>
    </row>
    <row r="15" spans="1:9" x14ac:dyDescent="0.25">
      <c r="B15" s="1272"/>
      <c r="C15" s="307" t="s">
        <v>790</v>
      </c>
      <c r="D15" s="21"/>
      <c r="E15" s="21"/>
      <c r="F15" s="21"/>
      <c r="G15" s="21"/>
      <c r="H15" s="21"/>
      <c r="I15" s="21"/>
    </row>
    <row r="16" spans="1:9" x14ac:dyDescent="0.25">
      <c r="B16" s="1272"/>
      <c r="C16" s="307" t="s">
        <v>791</v>
      </c>
      <c r="D16" s="21"/>
      <c r="E16" s="21"/>
      <c r="F16" s="21"/>
      <c r="G16" s="21"/>
      <c r="H16" s="21"/>
      <c r="I16" s="21"/>
    </row>
    <row r="17" spans="1:9" x14ac:dyDescent="0.25">
      <c r="B17" s="1272"/>
      <c r="C17" s="308" t="s">
        <v>792</v>
      </c>
      <c r="D17" s="21"/>
      <c r="E17" s="21"/>
      <c r="F17" s="21"/>
      <c r="G17" s="21"/>
      <c r="H17" s="21"/>
      <c r="I17" s="21"/>
    </row>
    <row r="18" spans="1:9" x14ac:dyDescent="0.25">
      <c r="B18" s="1272"/>
      <c r="C18" s="308" t="s">
        <v>793</v>
      </c>
      <c r="D18" s="21"/>
      <c r="E18" s="21"/>
      <c r="F18" s="21"/>
      <c r="G18" s="21"/>
      <c r="H18" s="21"/>
      <c r="I18" s="21"/>
    </row>
    <row r="19" spans="1:9" x14ac:dyDescent="0.25">
      <c r="B19" s="1272"/>
      <c r="C19" s="307" t="s">
        <v>794</v>
      </c>
      <c r="D19" s="21"/>
      <c r="E19" s="21"/>
      <c r="F19" s="21"/>
      <c r="G19" s="21"/>
      <c r="H19" s="21"/>
      <c r="I19" s="21"/>
    </row>
    <row r="20" spans="1:9" x14ac:dyDescent="0.25">
      <c r="B20" s="1272"/>
      <c r="C20" s="308" t="s">
        <v>795</v>
      </c>
      <c r="D20" s="21"/>
      <c r="E20" s="21"/>
      <c r="F20" s="21"/>
      <c r="G20" s="21"/>
      <c r="H20" s="21"/>
      <c r="I20" s="21"/>
    </row>
    <row r="21" spans="1:9" x14ac:dyDescent="0.25">
      <c r="B21" s="1272"/>
      <c r="C21" s="308" t="s">
        <v>796</v>
      </c>
      <c r="D21" s="21"/>
      <c r="E21" s="21"/>
      <c r="F21" s="21"/>
      <c r="G21" s="21"/>
      <c r="H21" s="21"/>
      <c r="I21" s="21"/>
    </row>
    <row r="22" spans="1:9" x14ac:dyDescent="0.25">
      <c r="B22" s="1272"/>
      <c r="C22" s="307" t="s">
        <v>797</v>
      </c>
      <c r="D22" s="21"/>
      <c r="E22" s="21"/>
      <c r="F22" s="21"/>
      <c r="G22" s="21"/>
      <c r="H22" s="21"/>
      <c r="I22" s="21"/>
    </row>
    <row r="23" spans="1:9" x14ac:dyDescent="0.25">
      <c r="B23" s="1272"/>
      <c r="C23" s="308" t="s">
        <v>798</v>
      </c>
      <c r="D23" s="21"/>
      <c r="E23" s="21"/>
      <c r="F23" s="21"/>
      <c r="G23" s="21"/>
      <c r="H23" s="21"/>
      <c r="I23" s="21"/>
    </row>
    <row r="24" spans="1:9" x14ac:dyDescent="0.25">
      <c r="B24" s="1272"/>
      <c r="C24" s="309" t="s">
        <v>799</v>
      </c>
      <c r="D24" s="21"/>
      <c r="E24" s="21"/>
      <c r="F24" s="21"/>
      <c r="G24" s="21"/>
      <c r="H24" s="21"/>
      <c r="I24" s="21"/>
    </row>
    <row r="25" spans="1:9" x14ac:dyDescent="0.25">
      <c r="B25" s="1272"/>
      <c r="C25" s="308" t="s">
        <v>800</v>
      </c>
      <c r="D25" s="21"/>
      <c r="E25" s="21"/>
      <c r="F25" s="21"/>
      <c r="G25" s="21"/>
      <c r="H25" s="21"/>
      <c r="I25" s="21"/>
    </row>
    <row r="26" spans="1:9" x14ac:dyDescent="0.25">
      <c r="B26" s="1273"/>
      <c r="C26" s="307" t="s">
        <v>801</v>
      </c>
      <c r="D26" s="21"/>
      <c r="E26" s="21"/>
      <c r="F26" s="21"/>
      <c r="G26" s="21"/>
      <c r="H26" s="21"/>
      <c r="I26" s="21"/>
    </row>
    <row r="30" spans="1:9" x14ac:dyDescent="0.25">
      <c r="B30" s="303" t="s">
        <v>804</v>
      </c>
    </row>
    <row r="31" spans="1:9" s="304" customFormat="1" ht="15" customHeight="1" x14ac:dyDescent="0.25">
      <c r="A31"/>
      <c r="B31" s="1276" t="s">
        <v>872</v>
      </c>
      <c r="C31" s="1276" t="s">
        <v>773</v>
      </c>
      <c r="D31" s="1278" t="s">
        <v>873</v>
      </c>
      <c r="E31" s="1279"/>
      <c r="F31" s="1276" t="s">
        <v>874</v>
      </c>
      <c r="G31" s="1280" t="s">
        <v>776</v>
      </c>
      <c r="H31" s="1274" t="s">
        <v>875</v>
      </c>
      <c r="I31" s="1274" t="s">
        <v>876</v>
      </c>
    </row>
    <row r="32" spans="1:9" s="304" customFormat="1" ht="25.5" x14ac:dyDescent="0.25">
      <c r="A32"/>
      <c r="B32" s="1277"/>
      <c r="C32" s="1277"/>
      <c r="D32" s="305"/>
      <c r="E32" s="306" t="s">
        <v>877</v>
      </c>
      <c r="F32" s="1277"/>
      <c r="G32" s="1281"/>
      <c r="H32" s="1275"/>
      <c r="I32" s="1275"/>
    </row>
    <row r="33" spans="2:9" x14ac:dyDescent="0.25">
      <c r="B33" s="33" t="s">
        <v>105</v>
      </c>
      <c r="C33" s="33" t="s">
        <v>104</v>
      </c>
      <c r="D33" s="184" t="s">
        <v>99</v>
      </c>
      <c r="E33" s="184" t="s">
        <v>98</v>
      </c>
      <c r="F33" s="184" t="s">
        <v>97</v>
      </c>
      <c r="G33" s="310" t="s">
        <v>113</v>
      </c>
      <c r="H33" s="311" t="s">
        <v>114</v>
      </c>
      <c r="I33" s="311" t="s">
        <v>169</v>
      </c>
    </row>
    <row r="34" spans="2:9" x14ac:dyDescent="0.25">
      <c r="B34" s="1271"/>
      <c r="C34" s="307" t="s">
        <v>785</v>
      </c>
      <c r="D34" s="256"/>
      <c r="E34" s="21"/>
      <c r="F34" s="21"/>
      <c r="G34" s="21"/>
      <c r="H34" s="21"/>
      <c r="I34" s="21"/>
    </row>
    <row r="35" spans="2:9" x14ac:dyDescent="0.25">
      <c r="B35" s="1272"/>
      <c r="C35" s="308" t="s">
        <v>786</v>
      </c>
      <c r="D35" s="256"/>
      <c r="E35" s="21"/>
      <c r="F35" s="21"/>
      <c r="G35" s="21"/>
      <c r="H35" s="21"/>
      <c r="I35" s="21"/>
    </row>
    <row r="36" spans="2:9" x14ac:dyDescent="0.25">
      <c r="B36" s="1272"/>
      <c r="C36" s="308" t="s">
        <v>787</v>
      </c>
      <c r="D36" s="256"/>
      <c r="E36" s="21"/>
      <c r="F36" s="21"/>
      <c r="G36" s="21"/>
      <c r="H36" s="21"/>
      <c r="I36" s="21"/>
    </row>
    <row r="37" spans="2:9" x14ac:dyDescent="0.25">
      <c r="B37" s="1272"/>
      <c r="C37" s="307" t="s">
        <v>788</v>
      </c>
      <c r="D37" s="256"/>
      <c r="E37" s="21"/>
      <c r="F37" s="21"/>
      <c r="G37" s="21"/>
      <c r="H37" s="21"/>
      <c r="I37" s="21"/>
    </row>
    <row r="38" spans="2:9" x14ac:dyDescent="0.25">
      <c r="B38" s="1272"/>
      <c r="C38" s="307" t="s">
        <v>789</v>
      </c>
      <c r="D38" s="256"/>
      <c r="E38" s="21"/>
      <c r="F38" s="21"/>
      <c r="G38" s="21"/>
      <c r="H38" s="21"/>
      <c r="I38" s="21"/>
    </row>
    <row r="39" spans="2:9" x14ac:dyDescent="0.25">
      <c r="B39" s="1272"/>
      <c r="C39" s="307" t="s">
        <v>790</v>
      </c>
      <c r="D39" s="21"/>
      <c r="E39" s="21"/>
      <c r="F39" s="21"/>
      <c r="G39" s="21"/>
      <c r="H39" s="21"/>
      <c r="I39" s="21"/>
    </row>
    <row r="40" spans="2:9" x14ac:dyDescent="0.25">
      <c r="B40" s="1272"/>
      <c r="C40" s="307" t="s">
        <v>791</v>
      </c>
      <c r="D40" s="21"/>
      <c r="E40" s="21"/>
      <c r="F40" s="21"/>
      <c r="G40" s="21"/>
      <c r="H40" s="21"/>
      <c r="I40" s="21"/>
    </row>
    <row r="41" spans="2:9" x14ac:dyDescent="0.25">
      <c r="B41" s="1272"/>
      <c r="C41" s="308" t="s">
        <v>792</v>
      </c>
      <c r="D41" s="21"/>
      <c r="E41" s="21"/>
      <c r="F41" s="21"/>
      <c r="G41" s="21"/>
      <c r="H41" s="21"/>
      <c r="I41" s="21"/>
    </row>
    <row r="42" spans="2:9" x14ac:dyDescent="0.25">
      <c r="B42" s="1272"/>
      <c r="C42" s="308" t="s">
        <v>793</v>
      </c>
      <c r="D42" s="21"/>
      <c r="E42" s="21"/>
      <c r="F42" s="21"/>
      <c r="G42" s="21"/>
      <c r="H42" s="21"/>
      <c r="I42" s="21"/>
    </row>
    <row r="43" spans="2:9" x14ac:dyDescent="0.25">
      <c r="B43" s="1272"/>
      <c r="C43" s="307" t="s">
        <v>794</v>
      </c>
      <c r="D43" s="21"/>
      <c r="E43" s="21"/>
      <c r="F43" s="21"/>
      <c r="G43" s="21"/>
      <c r="H43" s="21"/>
      <c r="I43" s="21"/>
    </row>
    <row r="44" spans="2:9" x14ac:dyDescent="0.25">
      <c r="B44" s="1272"/>
      <c r="C44" s="308" t="s">
        <v>795</v>
      </c>
      <c r="D44" s="21"/>
      <c r="E44" s="21"/>
      <c r="F44" s="21"/>
      <c r="G44" s="21"/>
      <c r="H44" s="21"/>
      <c r="I44" s="21"/>
    </row>
    <row r="45" spans="2:9" x14ac:dyDescent="0.25">
      <c r="B45" s="1272"/>
      <c r="C45" s="308" t="s">
        <v>796</v>
      </c>
      <c r="D45" s="21"/>
      <c r="E45" s="21"/>
      <c r="F45" s="21"/>
      <c r="G45" s="21"/>
      <c r="H45" s="21"/>
      <c r="I45" s="21"/>
    </row>
    <row r="46" spans="2:9" x14ac:dyDescent="0.25">
      <c r="B46" s="1272"/>
      <c r="C46" s="307" t="s">
        <v>797</v>
      </c>
      <c r="D46" s="21"/>
      <c r="E46" s="21"/>
      <c r="F46" s="21"/>
      <c r="G46" s="21"/>
      <c r="H46" s="21"/>
      <c r="I46" s="21"/>
    </row>
    <row r="47" spans="2:9" x14ac:dyDescent="0.25">
      <c r="B47" s="1272"/>
      <c r="C47" s="308" t="s">
        <v>798</v>
      </c>
      <c r="D47" s="21"/>
      <c r="E47" s="21"/>
      <c r="F47" s="21"/>
      <c r="G47" s="21"/>
      <c r="H47" s="21"/>
      <c r="I47" s="21"/>
    </row>
    <row r="48" spans="2:9" x14ac:dyDescent="0.25">
      <c r="B48" s="1272"/>
      <c r="C48" s="309" t="s">
        <v>799</v>
      </c>
      <c r="D48" s="21"/>
      <c r="E48" s="21"/>
      <c r="F48" s="21"/>
      <c r="G48" s="21"/>
      <c r="H48" s="21"/>
      <c r="I48" s="21"/>
    </row>
    <row r="49" spans="2:9" x14ac:dyDescent="0.25">
      <c r="B49" s="1272"/>
      <c r="C49" s="308" t="s">
        <v>800</v>
      </c>
      <c r="D49" s="21"/>
      <c r="E49" s="21"/>
      <c r="F49" s="21"/>
      <c r="G49" s="21"/>
      <c r="H49" s="21"/>
      <c r="I49" s="21"/>
    </row>
    <row r="50" spans="2:9" x14ac:dyDescent="0.25">
      <c r="B50" s="1273"/>
      <c r="C50" s="307" t="s">
        <v>801</v>
      </c>
      <c r="D50" s="21"/>
      <c r="E50" s="21"/>
      <c r="F50" s="21"/>
      <c r="G50" s="21"/>
      <c r="H50" s="21"/>
      <c r="I50" s="21"/>
    </row>
  </sheetData>
  <mergeCells count="16">
    <mergeCell ref="B34:B50"/>
    <mergeCell ref="I7:I8"/>
    <mergeCell ref="B10:B26"/>
    <mergeCell ref="B31:B32"/>
    <mergeCell ref="C31:C32"/>
    <mergeCell ref="D31:E31"/>
    <mergeCell ref="F31:F32"/>
    <mergeCell ref="G31:G32"/>
    <mergeCell ref="H31:H32"/>
    <mergeCell ref="I31:I32"/>
    <mergeCell ref="B7:B8"/>
    <mergeCell ref="C7:C8"/>
    <mergeCell ref="D7:E7"/>
    <mergeCell ref="F7:F8"/>
    <mergeCell ref="G7:G8"/>
    <mergeCell ref="H7:H8"/>
  </mergeCells>
  <hyperlinks>
    <hyperlink ref="B4" location="Indhold!B81" display="Skema CR9 –IRB-metoden – Back-testing af PD efter eksponeringsklasse. (fastsat PD-skala)" xr:uid="{347C7356-476F-4038-A40C-A612BD83E10B}"/>
  </hyperlinks>
  <pageMargins left="0.70866141732283472" right="0.70866141732283472" top="0.78740157480314965" bottom="0.78740157480314965" header="0.31496062992125984" footer="0.31496062992125984"/>
  <pageSetup paperSize="9" scale="60" orientation="landscape" cellComments="asDisplayed" r:id="rId1"/>
  <headerFooter>
    <oddHeader>&amp;CDA
Bilag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F2EB3-C9F9-4918-A897-3E1EAC013237}">
  <sheetPr>
    <tabColor rgb="FFFF0000"/>
    <pageSetUpPr fitToPage="1"/>
  </sheetPr>
  <dimension ref="A2:I29"/>
  <sheetViews>
    <sheetView showGridLines="0" zoomScaleNormal="100" zoomScaleSheetLayoutView="100" zoomScalePageLayoutView="80" workbookViewId="0">
      <selection activeCell="B2" sqref="B2"/>
    </sheetView>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878" t="s">
        <v>879</v>
      </c>
      <c r="C2" s="57"/>
      <c r="D2" s="57"/>
      <c r="E2" s="57"/>
      <c r="F2" s="57"/>
      <c r="G2" s="57"/>
    </row>
    <row r="3" spans="1:9" ht="21" x14ac:dyDescent="0.35">
      <c r="B3" s="303" t="s">
        <v>772</v>
      </c>
      <c r="C3" s="304"/>
      <c r="D3" s="244"/>
      <c r="E3" s="244"/>
      <c r="F3" s="244"/>
      <c r="G3" s="244"/>
    </row>
    <row r="4" spans="1:9" s="304" customFormat="1" ht="15" customHeight="1" x14ac:dyDescent="0.25">
      <c r="A4"/>
      <c r="B4" s="1276" t="s">
        <v>872</v>
      </c>
      <c r="C4" s="1276" t="s">
        <v>773</v>
      </c>
      <c r="D4" s="1276" t="s">
        <v>880</v>
      </c>
      <c r="E4" s="1278" t="s">
        <v>873</v>
      </c>
      <c r="F4" s="1279"/>
      <c r="G4" s="1276" t="s">
        <v>874</v>
      </c>
      <c r="H4" s="1276" t="s">
        <v>875</v>
      </c>
      <c r="I4" s="1274" t="s">
        <v>876</v>
      </c>
    </row>
    <row r="5" spans="1:9" s="304" customFormat="1" ht="53.25" customHeight="1" x14ac:dyDescent="0.25">
      <c r="A5"/>
      <c r="B5" s="1277"/>
      <c r="C5" s="1277"/>
      <c r="D5" s="1277"/>
      <c r="E5" s="305"/>
      <c r="F5" s="306" t="s">
        <v>877</v>
      </c>
      <c r="G5" s="1277"/>
      <c r="H5" s="1277"/>
      <c r="I5" s="1275"/>
    </row>
    <row r="6" spans="1:9" x14ac:dyDescent="0.25">
      <c r="B6" s="33" t="s">
        <v>105</v>
      </c>
      <c r="C6" s="33" t="s">
        <v>104</v>
      </c>
      <c r="D6" s="33" t="s">
        <v>99</v>
      </c>
      <c r="E6" s="184" t="s">
        <v>98</v>
      </c>
      <c r="F6" s="184" t="s">
        <v>97</v>
      </c>
      <c r="G6" s="184" t="s">
        <v>113</v>
      </c>
      <c r="H6" s="184" t="s">
        <v>114</v>
      </c>
      <c r="I6" s="184" t="s">
        <v>169</v>
      </c>
    </row>
    <row r="7" spans="1:9" x14ac:dyDescent="0.25">
      <c r="B7" s="1271"/>
      <c r="C7" s="307"/>
      <c r="D7" s="307"/>
      <c r="E7" s="256"/>
      <c r="F7" s="21"/>
      <c r="G7" s="21"/>
      <c r="H7" s="21"/>
      <c r="I7" s="21"/>
    </row>
    <row r="8" spans="1:9" x14ac:dyDescent="0.25">
      <c r="B8" s="1272"/>
      <c r="C8" s="308"/>
      <c r="D8" s="308"/>
      <c r="E8" s="256"/>
      <c r="F8" s="21"/>
      <c r="G8" s="21"/>
      <c r="H8" s="21"/>
      <c r="I8" s="21"/>
    </row>
    <row r="9" spans="1:9" x14ac:dyDescent="0.25">
      <c r="B9" s="1272"/>
      <c r="C9" s="308"/>
      <c r="D9" s="308"/>
      <c r="E9" s="256"/>
      <c r="F9" s="21"/>
      <c r="G9" s="21"/>
      <c r="H9" s="21"/>
      <c r="I9" s="21"/>
    </row>
    <row r="10" spans="1:9" x14ac:dyDescent="0.25">
      <c r="B10" s="1272"/>
      <c r="C10" s="307"/>
      <c r="D10" s="307"/>
      <c r="E10" s="256"/>
      <c r="F10" s="21"/>
      <c r="G10" s="21"/>
      <c r="H10" s="21"/>
      <c r="I10" s="21"/>
    </row>
    <row r="11" spans="1:9" x14ac:dyDescent="0.25">
      <c r="B11" s="1272"/>
      <c r="C11" s="307"/>
      <c r="D11" s="307"/>
      <c r="E11" s="256"/>
      <c r="F11" s="21"/>
      <c r="G11" s="21"/>
      <c r="H11" s="21"/>
      <c r="I11" s="21"/>
    </row>
    <row r="12" spans="1:9" x14ac:dyDescent="0.25">
      <c r="B12" s="1272"/>
      <c r="C12" s="307"/>
      <c r="D12" s="307"/>
      <c r="E12" s="21"/>
      <c r="F12" s="21"/>
      <c r="G12" s="21"/>
      <c r="H12" s="21"/>
      <c r="I12" s="21"/>
    </row>
    <row r="13" spans="1:9" x14ac:dyDescent="0.25">
      <c r="B13" s="1272"/>
      <c r="C13" s="307"/>
      <c r="D13" s="307"/>
      <c r="E13" s="21"/>
      <c r="F13" s="21"/>
      <c r="G13" s="21"/>
      <c r="H13" s="21"/>
      <c r="I13" s="21"/>
    </row>
    <row r="14" spans="1:9" x14ac:dyDescent="0.25">
      <c r="B14" s="1273"/>
      <c r="C14" s="308"/>
      <c r="D14" s="308"/>
      <c r="E14" s="21"/>
      <c r="F14" s="21"/>
      <c r="G14" s="21"/>
      <c r="H14" s="21"/>
      <c r="I14" s="21"/>
    </row>
    <row r="18" spans="1:9" x14ac:dyDescent="0.25">
      <c r="B18" s="303" t="s">
        <v>804</v>
      </c>
    </row>
    <row r="19" spans="1:9" s="304" customFormat="1" ht="15" customHeight="1" x14ac:dyDescent="0.25">
      <c r="A19"/>
      <c r="B19" s="1276" t="s">
        <v>872</v>
      </c>
      <c r="C19" s="1276" t="s">
        <v>773</v>
      </c>
      <c r="D19" s="1276" t="s">
        <v>880</v>
      </c>
      <c r="E19" s="1278" t="s">
        <v>873</v>
      </c>
      <c r="F19" s="1279"/>
      <c r="G19" s="1276" t="s">
        <v>874</v>
      </c>
      <c r="H19" s="1276" t="s">
        <v>875</v>
      </c>
      <c r="I19" s="1274" t="s">
        <v>876</v>
      </c>
    </row>
    <row r="20" spans="1:9" s="304" customFormat="1" ht="57" customHeight="1" x14ac:dyDescent="0.25">
      <c r="A20"/>
      <c r="B20" s="1277"/>
      <c r="C20" s="1277"/>
      <c r="D20" s="1277"/>
      <c r="E20" s="305"/>
      <c r="F20" s="306" t="s">
        <v>877</v>
      </c>
      <c r="G20" s="1277"/>
      <c r="H20" s="1277"/>
      <c r="I20" s="1275"/>
    </row>
    <row r="21" spans="1:9" x14ac:dyDescent="0.25">
      <c r="B21" s="33" t="s">
        <v>105</v>
      </c>
      <c r="C21" s="33" t="s">
        <v>104</v>
      </c>
      <c r="D21" s="33" t="s">
        <v>99</v>
      </c>
      <c r="E21" s="184" t="s">
        <v>98</v>
      </c>
      <c r="F21" s="184" t="s">
        <v>97</v>
      </c>
      <c r="G21" s="184" t="s">
        <v>113</v>
      </c>
      <c r="H21" s="184" t="s">
        <v>114</v>
      </c>
      <c r="I21" s="184" t="s">
        <v>169</v>
      </c>
    </row>
    <row r="22" spans="1:9" x14ac:dyDescent="0.25">
      <c r="B22" s="1271"/>
      <c r="C22" s="307"/>
      <c r="D22" s="307"/>
      <c r="E22" s="256"/>
      <c r="F22" s="21"/>
      <c r="G22" s="21"/>
      <c r="H22" s="21"/>
      <c r="I22" s="21"/>
    </row>
    <row r="23" spans="1:9" x14ac:dyDescent="0.25">
      <c r="B23" s="1272"/>
      <c r="C23" s="308"/>
      <c r="D23" s="308"/>
      <c r="E23" s="256"/>
      <c r="F23" s="21"/>
      <c r="G23" s="21"/>
      <c r="H23" s="21"/>
      <c r="I23" s="21"/>
    </row>
    <row r="24" spans="1:9" x14ac:dyDescent="0.25">
      <c r="B24" s="1272"/>
      <c r="C24" s="308"/>
      <c r="D24" s="308"/>
      <c r="E24" s="256"/>
      <c r="F24" s="21"/>
      <c r="G24" s="21"/>
      <c r="H24" s="21"/>
      <c r="I24" s="21"/>
    </row>
    <row r="25" spans="1:9" x14ac:dyDescent="0.25">
      <c r="B25" s="1272"/>
      <c r="C25" s="307"/>
      <c r="D25" s="307"/>
      <c r="E25" s="256"/>
      <c r="F25" s="21"/>
      <c r="G25" s="21"/>
      <c r="H25" s="21"/>
      <c r="I25" s="21"/>
    </row>
    <row r="26" spans="1:9" x14ac:dyDescent="0.25">
      <c r="B26" s="1272"/>
      <c r="C26" s="307"/>
      <c r="D26" s="307"/>
      <c r="E26" s="256"/>
      <c r="F26" s="21"/>
      <c r="G26" s="21"/>
      <c r="H26" s="21"/>
      <c r="I26" s="21"/>
    </row>
    <row r="27" spans="1:9" x14ac:dyDescent="0.25">
      <c r="B27" s="1272"/>
      <c r="C27" s="307"/>
      <c r="D27" s="307"/>
      <c r="E27" s="21"/>
      <c r="F27" s="21"/>
      <c r="G27" s="21"/>
      <c r="H27" s="21"/>
      <c r="I27" s="21"/>
    </row>
    <row r="28" spans="1:9" x14ac:dyDescent="0.25">
      <c r="B28" s="1272"/>
      <c r="C28" s="307"/>
      <c r="D28" s="307"/>
      <c r="E28" s="21"/>
      <c r="F28" s="21"/>
      <c r="G28" s="21"/>
      <c r="H28" s="21"/>
      <c r="I28" s="21"/>
    </row>
    <row r="29" spans="1:9" x14ac:dyDescent="0.25">
      <c r="B29" s="1273"/>
      <c r="C29" s="308"/>
      <c r="D29" s="308"/>
      <c r="E29" s="21"/>
      <c r="F29" s="21"/>
      <c r="G29" s="21"/>
      <c r="H29" s="21"/>
      <c r="I29" s="21"/>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hyperlinks>
    <hyperlink ref="B2" location="Indhold!B82" display="Skema CR9.1 – IRB metoden – Back-testing af PD efter eksponeringsklasse (kun for PD-estimater i henhold til artikel 180, stk. 1, litra f), i CRR)" xr:uid="{E85F8158-0799-4FE7-8777-FB4C0CD1A8AC}"/>
  </hyperlinks>
  <pageMargins left="0.70866141732283472" right="0.70866141732283472" top="0.78740157480314965" bottom="0.78740157480314965" header="0.31496062992125984" footer="0.31496062992125984"/>
  <pageSetup paperSize="9" scale="67" orientation="landscape" r:id="rId1"/>
  <headerFooter>
    <oddHeader>&amp;CDA
Bilag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F89A-80D2-4C76-B021-94220E540118}">
  <sheetPr>
    <tabColor rgb="FFFF0000"/>
    <pageSetUpPr fitToPage="1"/>
  </sheetPr>
  <dimension ref="A1:H78"/>
  <sheetViews>
    <sheetView showGridLines="0" zoomScaleNormal="100" workbookViewId="0"/>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878" t="s">
        <v>881</v>
      </c>
      <c r="B1" s="265"/>
      <c r="C1" s="265"/>
      <c r="D1" s="265"/>
      <c r="E1" s="265"/>
      <c r="F1" s="265"/>
      <c r="G1" s="244"/>
      <c r="H1" s="244"/>
    </row>
    <row r="3" spans="1:8" x14ac:dyDescent="0.25">
      <c r="A3" s="34" t="s">
        <v>882</v>
      </c>
    </row>
    <row r="4" spans="1:8" x14ac:dyDescent="0.25">
      <c r="A4" s="1283" t="s">
        <v>883</v>
      </c>
      <c r="B4" s="1283"/>
      <c r="C4" s="1283"/>
      <c r="D4" s="1283"/>
      <c r="E4" s="1283"/>
      <c r="F4" s="1283"/>
      <c r="G4" s="1283"/>
      <c r="H4" s="1283"/>
    </row>
    <row r="5" spans="1:8" ht="30" x14ac:dyDescent="0.25">
      <c r="A5" s="1284" t="s">
        <v>884</v>
      </c>
      <c r="B5" s="1284" t="s">
        <v>885</v>
      </c>
      <c r="C5" s="6" t="s">
        <v>886</v>
      </c>
      <c r="D5" s="6" t="s">
        <v>887</v>
      </c>
      <c r="E5" s="245" t="s">
        <v>762</v>
      </c>
      <c r="F5" s="245" t="s">
        <v>103</v>
      </c>
      <c r="G5" s="245" t="s">
        <v>861</v>
      </c>
      <c r="H5" s="245" t="s">
        <v>782</v>
      </c>
    </row>
    <row r="6" spans="1:8" x14ac:dyDescent="0.25">
      <c r="A6" s="1285"/>
      <c r="B6" s="1285"/>
      <c r="C6" s="33" t="s">
        <v>105</v>
      </c>
      <c r="D6" s="33" t="s">
        <v>104</v>
      </c>
      <c r="E6" s="33" t="s">
        <v>99</v>
      </c>
      <c r="F6" s="33" t="s">
        <v>98</v>
      </c>
      <c r="G6" s="33" t="s">
        <v>97</v>
      </c>
      <c r="H6" s="33" t="s">
        <v>113</v>
      </c>
    </row>
    <row r="7" spans="1:8" x14ac:dyDescent="0.25">
      <c r="A7" s="1282" t="s">
        <v>888</v>
      </c>
      <c r="B7" s="256" t="s">
        <v>889</v>
      </c>
      <c r="C7" s="256"/>
      <c r="D7" s="256"/>
      <c r="E7" s="312">
        <v>0.5</v>
      </c>
      <c r="F7" s="256"/>
      <c r="G7" s="256"/>
      <c r="H7" s="256"/>
    </row>
    <row r="8" spans="1:8" ht="30" x14ac:dyDescent="0.25">
      <c r="A8" s="1282"/>
      <c r="B8" s="256" t="s">
        <v>890</v>
      </c>
      <c r="C8" s="256"/>
      <c r="D8" s="256"/>
      <c r="E8" s="312">
        <v>0.7</v>
      </c>
      <c r="F8" s="256"/>
      <c r="G8" s="256"/>
      <c r="H8" s="256"/>
    </row>
    <row r="9" spans="1:8" x14ac:dyDescent="0.25">
      <c r="A9" s="1282" t="s">
        <v>891</v>
      </c>
      <c r="B9" s="256" t="s">
        <v>889</v>
      </c>
      <c r="C9" s="256"/>
      <c r="D9" s="256"/>
      <c r="E9" s="312">
        <v>0.7</v>
      </c>
      <c r="F9" s="256"/>
      <c r="G9" s="256"/>
      <c r="H9" s="256"/>
    </row>
    <row r="10" spans="1:8" ht="30" x14ac:dyDescent="0.25">
      <c r="A10" s="1282"/>
      <c r="B10" s="256" t="s">
        <v>890</v>
      </c>
      <c r="C10" s="256"/>
      <c r="D10" s="256"/>
      <c r="E10" s="312">
        <v>0.9</v>
      </c>
      <c r="F10" s="256"/>
      <c r="G10" s="256"/>
      <c r="H10" s="256"/>
    </row>
    <row r="11" spans="1:8" x14ac:dyDescent="0.25">
      <c r="A11" s="1282" t="s">
        <v>892</v>
      </c>
      <c r="B11" s="256" t="s">
        <v>889</v>
      </c>
      <c r="C11" s="256"/>
      <c r="D11" s="256"/>
      <c r="E11" s="312">
        <v>1.1499999999999999</v>
      </c>
      <c r="F11" s="256"/>
      <c r="G11" s="256"/>
      <c r="H11" s="256"/>
    </row>
    <row r="12" spans="1:8" ht="30" x14ac:dyDescent="0.25">
      <c r="A12" s="1282"/>
      <c r="B12" s="256" t="s">
        <v>890</v>
      </c>
      <c r="C12" s="256"/>
      <c r="D12" s="256"/>
      <c r="E12" s="312">
        <v>1.1499999999999999</v>
      </c>
      <c r="F12" s="256"/>
      <c r="G12" s="256"/>
      <c r="H12" s="256"/>
    </row>
    <row r="13" spans="1:8" x14ac:dyDescent="0.25">
      <c r="A13" s="1282" t="s">
        <v>893</v>
      </c>
      <c r="B13" s="256" t="s">
        <v>889</v>
      </c>
      <c r="C13" s="256"/>
      <c r="D13" s="256"/>
      <c r="E13" s="312">
        <v>2.5</v>
      </c>
      <c r="F13" s="256"/>
      <c r="G13" s="256"/>
      <c r="H13" s="256"/>
    </row>
    <row r="14" spans="1:8" ht="30" x14ac:dyDescent="0.25">
      <c r="A14" s="1282"/>
      <c r="B14" s="256" t="s">
        <v>890</v>
      </c>
      <c r="C14" s="256"/>
      <c r="D14" s="256"/>
      <c r="E14" s="312">
        <v>2.5</v>
      </c>
      <c r="F14" s="256"/>
      <c r="G14" s="256"/>
      <c r="H14" s="256"/>
    </row>
    <row r="15" spans="1:8" x14ac:dyDescent="0.25">
      <c r="A15" s="1282" t="s">
        <v>894</v>
      </c>
      <c r="B15" s="256" t="s">
        <v>889</v>
      </c>
      <c r="C15" s="256"/>
      <c r="D15" s="256"/>
      <c r="E15" s="313" t="s">
        <v>895</v>
      </c>
      <c r="F15" s="256"/>
      <c r="G15" s="256"/>
      <c r="H15" s="256"/>
    </row>
    <row r="16" spans="1:8" ht="30" x14ac:dyDescent="0.25">
      <c r="A16" s="1282"/>
      <c r="B16" s="256" t="s">
        <v>890</v>
      </c>
      <c r="C16" s="256"/>
      <c r="D16" s="256"/>
      <c r="E16" s="313" t="s">
        <v>895</v>
      </c>
      <c r="F16" s="256"/>
      <c r="G16" s="256"/>
      <c r="H16" s="256"/>
    </row>
    <row r="17" spans="1:8" x14ac:dyDescent="0.25">
      <c r="A17" s="1282" t="s">
        <v>0</v>
      </c>
      <c r="B17" s="256" t="s">
        <v>889</v>
      </c>
      <c r="C17" s="256"/>
      <c r="D17" s="256"/>
      <c r="E17" s="256"/>
      <c r="F17" s="256"/>
      <c r="G17" s="256"/>
      <c r="H17" s="256"/>
    </row>
    <row r="18" spans="1:8" ht="30" x14ac:dyDescent="0.25">
      <c r="A18" s="1282"/>
      <c r="B18" s="256" t="s">
        <v>890</v>
      </c>
      <c r="C18" s="256"/>
      <c r="D18" s="256"/>
      <c r="E18" s="256"/>
      <c r="F18" s="256"/>
      <c r="G18" s="256"/>
      <c r="H18" s="256"/>
    </row>
    <row r="20" spans="1:8" x14ac:dyDescent="0.25">
      <c r="A20" s="34" t="s">
        <v>896</v>
      </c>
    </row>
    <row r="21" spans="1:8" x14ac:dyDescent="0.25">
      <c r="A21" s="1283" t="s">
        <v>897</v>
      </c>
      <c r="B21" s="1283"/>
      <c r="C21" s="1283"/>
      <c r="D21" s="1283"/>
      <c r="E21" s="1283"/>
      <c r="F21" s="1283"/>
      <c r="G21" s="1283"/>
      <c r="H21" s="1283"/>
    </row>
    <row r="22" spans="1:8" ht="30" x14ac:dyDescent="0.25">
      <c r="A22" s="1284" t="s">
        <v>884</v>
      </c>
      <c r="B22" s="1284" t="s">
        <v>885</v>
      </c>
      <c r="C22" s="6" t="s">
        <v>886</v>
      </c>
      <c r="D22" s="6" t="s">
        <v>887</v>
      </c>
      <c r="E22" s="245" t="s">
        <v>762</v>
      </c>
      <c r="F22" s="245" t="s">
        <v>103</v>
      </c>
      <c r="G22" s="245" t="s">
        <v>861</v>
      </c>
      <c r="H22" s="245" t="s">
        <v>782</v>
      </c>
    </row>
    <row r="23" spans="1:8" x14ac:dyDescent="0.25">
      <c r="A23" s="1285"/>
      <c r="B23" s="1285"/>
      <c r="C23" s="33" t="s">
        <v>105</v>
      </c>
      <c r="D23" s="33" t="s">
        <v>104</v>
      </c>
      <c r="E23" s="33" t="s">
        <v>99</v>
      </c>
      <c r="F23" s="33" t="s">
        <v>98</v>
      </c>
      <c r="G23" s="33" t="s">
        <v>97</v>
      </c>
      <c r="H23" s="33" t="s">
        <v>113</v>
      </c>
    </row>
    <row r="24" spans="1:8" x14ac:dyDescent="0.25">
      <c r="A24" s="1282" t="s">
        <v>888</v>
      </c>
      <c r="B24" s="256" t="s">
        <v>889</v>
      </c>
      <c r="C24" s="256"/>
      <c r="D24" s="256"/>
      <c r="E24" s="312">
        <v>0.5</v>
      </c>
      <c r="F24" s="256"/>
      <c r="G24" s="256"/>
      <c r="H24" s="256"/>
    </row>
    <row r="25" spans="1:8" ht="30" x14ac:dyDescent="0.25">
      <c r="A25" s="1282"/>
      <c r="B25" s="256" t="s">
        <v>890</v>
      </c>
      <c r="C25" s="256"/>
      <c r="D25" s="256"/>
      <c r="E25" s="312">
        <v>0.7</v>
      </c>
      <c r="F25" s="256"/>
      <c r="G25" s="256"/>
      <c r="H25" s="256"/>
    </row>
    <row r="26" spans="1:8" x14ac:dyDescent="0.25">
      <c r="A26" s="1282" t="s">
        <v>891</v>
      </c>
      <c r="B26" s="256" t="s">
        <v>889</v>
      </c>
      <c r="C26" s="256"/>
      <c r="D26" s="256"/>
      <c r="E26" s="312">
        <v>0.7</v>
      </c>
      <c r="F26" s="256"/>
      <c r="G26" s="256"/>
      <c r="H26" s="256"/>
    </row>
    <row r="27" spans="1:8" ht="30" x14ac:dyDescent="0.25">
      <c r="A27" s="1282"/>
      <c r="B27" s="256" t="s">
        <v>890</v>
      </c>
      <c r="C27" s="256"/>
      <c r="D27" s="256"/>
      <c r="E27" s="312">
        <v>0.9</v>
      </c>
      <c r="F27" s="256"/>
      <c r="G27" s="256"/>
      <c r="H27" s="256"/>
    </row>
    <row r="28" spans="1:8" x14ac:dyDescent="0.25">
      <c r="A28" s="1282" t="s">
        <v>892</v>
      </c>
      <c r="B28" s="256" t="s">
        <v>889</v>
      </c>
      <c r="C28" s="256"/>
      <c r="D28" s="256"/>
      <c r="E28" s="312">
        <v>1.1499999999999999</v>
      </c>
      <c r="F28" s="256"/>
      <c r="G28" s="256"/>
      <c r="H28" s="256"/>
    </row>
    <row r="29" spans="1:8" ht="30" x14ac:dyDescent="0.25">
      <c r="A29" s="1282"/>
      <c r="B29" s="256" t="s">
        <v>890</v>
      </c>
      <c r="C29" s="256"/>
      <c r="D29" s="256"/>
      <c r="E29" s="312">
        <v>1.1499999999999999</v>
      </c>
      <c r="F29" s="256"/>
      <c r="G29" s="256"/>
      <c r="H29" s="256"/>
    </row>
    <row r="30" spans="1:8" x14ac:dyDescent="0.25">
      <c r="A30" s="1282" t="s">
        <v>893</v>
      </c>
      <c r="B30" s="256" t="s">
        <v>889</v>
      </c>
      <c r="C30" s="256"/>
      <c r="D30" s="256"/>
      <c r="E30" s="312">
        <v>2.5</v>
      </c>
      <c r="F30" s="256"/>
      <c r="G30" s="256"/>
      <c r="H30" s="256"/>
    </row>
    <row r="31" spans="1:8" ht="30" x14ac:dyDescent="0.25">
      <c r="A31" s="1282"/>
      <c r="B31" s="256" t="s">
        <v>890</v>
      </c>
      <c r="C31" s="256"/>
      <c r="D31" s="256"/>
      <c r="E31" s="312">
        <v>2.5</v>
      </c>
      <c r="F31" s="256"/>
      <c r="G31" s="256"/>
      <c r="H31" s="256"/>
    </row>
    <row r="32" spans="1:8" x14ac:dyDescent="0.25">
      <c r="A32" s="1282" t="s">
        <v>894</v>
      </c>
      <c r="B32" s="256" t="s">
        <v>889</v>
      </c>
      <c r="C32" s="256"/>
      <c r="D32" s="256"/>
      <c r="E32" s="313" t="s">
        <v>895</v>
      </c>
      <c r="F32" s="256"/>
      <c r="G32" s="256"/>
      <c r="H32" s="256"/>
    </row>
    <row r="33" spans="1:8" ht="30" x14ac:dyDescent="0.25">
      <c r="A33" s="1282"/>
      <c r="B33" s="256" t="s">
        <v>890</v>
      </c>
      <c r="C33" s="256"/>
      <c r="D33" s="256"/>
      <c r="E33" s="313" t="s">
        <v>895</v>
      </c>
      <c r="F33" s="256"/>
      <c r="G33" s="256"/>
      <c r="H33" s="256"/>
    </row>
    <row r="34" spans="1:8" x14ac:dyDescent="0.25">
      <c r="A34" s="1282" t="s">
        <v>0</v>
      </c>
      <c r="B34" s="256" t="s">
        <v>889</v>
      </c>
      <c r="C34" s="256"/>
      <c r="D34" s="256"/>
      <c r="E34" s="256"/>
      <c r="F34" s="256"/>
      <c r="G34" s="256"/>
      <c r="H34" s="256"/>
    </row>
    <row r="35" spans="1:8" ht="30" x14ac:dyDescent="0.25">
      <c r="A35" s="1282"/>
      <c r="B35" s="256" t="s">
        <v>890</v>
      </c>
      <c r="C35" s="256"/>
      <c r="D35" s="256"/>
      <c r="E35" s="256"/>
      <c r="F35" s="256"/>
      <c r="G35" s="256"/>
      <c r="H35" s="256"/>
    </row>
    <row r="37" spans="1:8" x14ac:dyDescent="0.25">
      <c r="A37" s="34" t="s">
        <v>898</v>
      </c>
    </row>
    <row r="38" spans="1:8" x14ac:dyDescent="0.25">
      <c r="A38" s="1283" t="s">
        <v>899</v>
      </c>
      <c r="B38" s="1283"/>
      <c r="C38" s="1283"/>
      <c r="D38" s="1283"/>
      <c r="E38" s="1283"/>
      <c r="F38" s="1283"/>
      <c r="G38" s="1283"/>
      <c r="H38" s="1283"/>
    </row>
    <row r="39" spans="1:8" ht="30" x14ac:dyDescent="0.25">
      <c r="A39" s="1286" t="s">
        <v>884</v>
      </c>
      <c r="B39" s="1286" t="s">
        <v>885</v>
      </c>
      <c r="C39" s="314" t="s">
        <v>886</v>
      </c>
      <c r="D39" s="314" t="s">
        <v>887</v>
      </c>
      <c r="E39" s="315" t="s">
        <v>762</v>
      </c>
      <c r="F39" s="315" t="s">
        <v>103</v>
      </c>
      <c r="G39" s="315" t="s">
        <v>861</v>
      </c>
      <c r="H39" s="315" t="s">
        <v>782</v>
      </c>
    </row>
    <row r="40" spans="1:8" x14ac:dyDescent="0.25">
      <c r="A40" s="1287"/>
      <c r="B40" s="1287"/>
      <c r="C40" s="313" t="s">
        <v>105</v>
      </c>
      <c r="D40" s="313" t="s">
        <v>104</v>
      </c>
      <c r="E40" s="313" t="s">
        <v>99</v>
      </c>
      <c r="F40" s="313" t="s">
        <v>98</v>
      </c>
      <c r="G40" s="313" t="s">
        <v>97</v>
      </c>
      <c r="H40" s="313" t="s">
        <v>113</v>
      </c>
    </row>
    <row r="41" spans="1:8" x14ac:dyDescent="0.25">
      <c r="A41" s="1282" t="s">
        <v>888</v>
      </c>
      <c r="B41" s="256" t="s">
        <v>889</v>
      </c>
      <c r="C41" s="256"/>
      <c r="D41" s="256"/>
      <c r="E41" s="312">
        <v>0.5</v>
      </c>
      <c r="F41" s="256"/>
      <c r="G41" s="256"/>
      <c r="H41" s="256"/>
    </row>
    <row r="42" spans="1:8" ht="30" x14ac:dyDescent="0.25">
      <c r="A42" s="1282"/>
      <c r="B42" s="256" t="s">
        <v>890</v>
      </c>
      <c r="C42" s="256"/>
      <c r="D42" s="256"/>
      <c r="E42" s="312">
        <v>0.7</v>
      </c>
      <c r="F42" s="256"/>
      <c r="G42" s="256"/>
      <c r="H42" s="256"/>
    </row>
    <row r="43" spans="1:8" x14ac:dyDescent="0.25">
      <c r="A43" s="1282" t="s">
        <v>891</v>
      </c>
      <c r="B43" s="256" t="s">
        <v>889</v>
      </c>
      <c r="C43" s="256"/>
      <c r="D43" s="256"/>
      <c r="E43" s="312">
        <v>0.7</v>
      </c>
      <c r="F43" s="256"/>
      <c r="G43" s="256"/>
      <c r="H43" s="256"/>
    </row>
    <row r="44" spans="1:8" ht="30" x14ac:dyDescent="0.25">
      <c r="A44" s="1282"/>
      <c r="B44" s="256" t="s">
        <v>890</v>
      </c>
      <c r="C44" s="256"/>
      <c r="D44" s="256"/>
      <c r="E44" s="312">
        <v>0.9</v>
      </c>
      <c r="F44" s="256"/>
      <c r="G44" s="256"/>
      <c r="H44" s="256"/>
    </row>
    <row r="45" spans="1:8" x14ac:dyDescent="0.25">
      <c r="A45" s="1282" t="s">
        <v>892</v>
      </c>
      <c r="B45" s="256" t="s">
        <v>889</v>
      </c>
      <c r="C45" s="256"/>
      <c r="D45" s="256"/>
      <c r="E45" s="312">
        <v>1.1499999999999999</v>
      </c>
      <c r="F45" s="256"/>
      <c r="G45" s="256"/>
      <c r="H45" s="256"/>
    </row>
    <row r="46" spans="1:8" ht="30" x14ac:dyDescent="0.25">
      <c r="A46" s="1282"/>
      <c r="B46" s="256" t="s">
        <v>890</v>
      </c>
      <c r="C46" s="256"/>
      <c r="D46" s="256"/>
      <c r="E46" s="312">
        <v>1.1499999999999999</v>
      </c>
      <c r="F46" s="256"/>
      <c r="G46" s="256"/>
      <c r="H46" s="256"/>
    </row>
    <row r="47" spans="1:8" x14ac:dyDescent="0.25">
      <c r="A47" s="1282" t="s">
        <v>893</v>
      </c>
      <c r="B47" s="256" t="s">
        <v>889</v>
      </c>
      <c r="C47" s="256"/>
      <c r="D47" s="256"/>
      <c r="E47" s="312">
        <v>2.5</v>
      </c>
      <c r="F47" s="256"/>
      <c r="G47" s="256"/>
      <c r="H47" s="256"/>
    </row>
    <row r="48" spans="1:8" ht="30" x14ac:dyDescent="0.25">
      <c r="A48" s="1282"/>
      <c r="B48" s="256" t="s">
        <v>890</v>
      </c>
      <c r="C48" s="256"/>
      <c r="D48" s="256"/>
      <c r="E48" s="312">
        <v>2.5</v>
      </c>
      <c r="F48" s="256"/>
      <c r="G48" s="256"/>
      <c r="H48" s="256"/>
    </row>
    <row r="49" spans="1:8" x14ac:dyDescent="0.25">
      <c r="A49" s="1282" t="s">
        <v>894</v>
      </c>
      <c r="B49" s="256" t="s">
        <v>889</v>
      </c>
      <c r="C49" s="256"/>
      <c r="D49" s="256"/>
      <c r="E49" s="313" t="s">
        <v>895</v>
      </c>
      <c r="F49" s="256"/>
      <c r="G49" s="256"/>
      <c r="H49" s="256"/>
    </row>
    <row r="50" spans="1:8" ht="30" x14ac:dyDescent="0.25">
      <c r="A50" s="1282"/>
      <c r="B50" s="256" t="s">
        <v>890</v>
      </c>
      <c r="C50" s="256"/>
      <c r="D50" s="256"/>
      <c r="E50" s="313" t="s">
        <v>895</v>
      </c>
      <c r="F50" s="256"/>
      <c r="G50" s="256"/>
      <c r="H50" s="256"/>
    </row>
    <row r="51" spans="1:8" x14ac:dyDescent="0.25">
      <c r="A51" s="1282" t="s">
        <v>0</v>
      </c>
      <c r="B51" s="256" t="s">
        <v>889</v>
      </c>
      <c r="C51" s="256"/>
      <c r="D51" s="256"/>
      <c r="E51" s="256"/>
      <c r="F51" s="256"/>
      <c r="G51" s="256"/>
      <c r="H51" s="256"/>
    </row>
    <row r="52" spans="1:8" ht="30" x14ac:dyDescent="0.25">
      <c r="A52" s="1282"/>
      <c r="B52" s="256" t="s">
        <v>890</v>
      </c>
      <c r="C52" s="256"/>
      <c r="D52" s="256"/>
      <c r="E52" s="256"/>
      <c r="F52" s="256"/>
      <c r="G52" s="256"/>
      <c r="H52" s="256"/>
    </row>
    <row r="54" spans="1:8" x14ac:dyDescent="0.25">
      <c r="A54" s="34" t="s">
        <v>900</v>
      </c>
    </row>
    <row r="55" spans="1:8" x14ac:dyDescent="0.25">
      <c r="A55" s="1283" t="s">
        <v>901</v>
      </c>
      <c r="B55" s="1283"/>
      <c r="C55" s="1283"/>
      <c r="D55" s="1283"/>
      <c r="E55" s="1283"/>
      <c r="F55" s="1283"/>
      <c r="G55" s="1283"/>
      <c r="H55" s="1283"/>
    </row>
    <row r="56" spans="1:8" ht="30" x14ac:dyDescent="0.25">
      <c r="A56" s="1286" t="s">
        <v>884</v>
      </c>
      <c r="B56" s="1286" t="s">
        <v>885</v>
      </c>
      <c r="C56" s="314" t="s">
        <v>886</v>
      </c>
      <c r="D56" s="314" t="s">
        <v>887</v>
      </c>
      <c r="E56" s="315" t="s">
        <v>762</v>
      </c>
      <c r="F56" s="315" t="s">
        <v>103</v>
      </c>
      <c r="G56" s="315" t="s">
        <v>861</v>
      </c>
      <c r="H56" s="315" t="s">
        <v>782</v>
      </c>
    </row>
    <row r="57" spans="1:8" x14ac:dyDescent="0.25">
      <c r="A57" s="1287"/>
      <c r="B57" s="1287"/>
      <c r="C57" s="313" t="s">
        <v>105</v>
      </c>
      <c r="D57" s="313" t="s">
        <v>104</v>
      </c>
      <c r="E57" s="313" t="s">
        <v>99</v>
      </c>
      <c r="F57" s="313" t="s">
        <v>98</v>
      </c>
      <c r="G57" s="313" t="s">
        <v>97</v>
      </c>
      <c r="H57" s="313" t="s">
        <v>113</v>
      </c>
    </row>
    <row r="58" spans="1:8" x14ac:dyDescent="0.25">
      <c r="A58" s="1282" t="s">
        <v>888</v>
      </c>
      <c r="B58" s="256" t="s">
        <v>889</v>
      </c>
      <c r="C58" s="256"/>
      <c r="D58" s="256"/>
      <c r="E58" s="312">
        <v>0.5</v>
      </c>
      <c r="F58" s="256"/>
      <c r="G58" s="256"/>
      <c r="H58" s="256"/>
    </row>
    <row r="59" spans="1:8" ht="30" x14ac:dyDescent="0.25">
      <c r="A59" s="1282"/>
      <c r="B59" s="256" t="s">
        <v>890</v>
      </c>
      <c r="C59" s="256"/>
      <c r="D59" s="256"/>
      <c r="E59" s="312">
        <v>0.7</v>
      </c>
      <c r="F59" s="256"/>
      <c r="G59" s="256"/>
      <c r="H59" s="256"/>
    </row>
    <row r="60" spans="1:8" x14ac:dyDescent="0.25">
      <c r="A60" s="1282" t="s">
        <v>891</v>
      </c>
      <c r="B60" s="256" t="s">
        <v>889</v>
      </c>
      <c r="C60" s="256"/>
      <c r="D60" s="256"/>
      <c r="E60" s="312">
        <v>0.7</v>
      </c>
      <c r="F60" s="256"/>
      <c r="G60" s="256"/>
      <c r="H60" s="256"/>
    </row>
    <row r="61" spans="1:8" ht="30" x14ac:dyDescent="0.25">
      <c r="A61" s="1282"/>
      <c r="B61" s="256" t="s">
        <v>890</v>
      </c>
      <c r="C61" s="256"/>
      <c r="D61" s="256"/>
      <c r="E61" s="312">
        <v>0.9</v>
      </c>
      <c r="F61" s="256"/>
      <c r="G61" s="256"/>
      <c r="H61" s="256"/>
    </row>
    <row r="62" spans="1:8" x14ac:dyDescent="0.25">
      <c r="A62" s="1282" t="s">
        <v>892</v>
      </c>
      <c r="B62" s="256" t="s">
        <v>889</v>
      </c>
      <c r="C62" s="256"/>
      <c r="D62" s="256"/>
      <c r="E62" s="312">
        <v>1.1499999999999999</v>
      </c>
      <c r="F62" s="256"/>
      <c r="G62" s="256"/>
      <c r="H62" s="256"/>
    </row>
    <row r="63" spans="1:8" ht="30" x14ac:dyDescent="0.25">
      <c r="A63" s="1282"/>
      <c r="B63" s="256" t="s">
        <v>890</v>
      </c>
      <c r="C63" s="256"/>
      <c r="D63" s="256"/>
      <c r="E63" s="312">
        <v>1.1499999999999999</v>
      </c>
      <c r="F63" s="256"/>
      <c r="G63" s="256"/>
      <c r="H63" s="256"/>
    </row>
    <row r="64" spans="1:8" x14ac:dyDescent="0.25">
      <c r="A64" s="1282" t="s">
        <v>893</v>
      </c>
      <c r="B64" s="256" t="s">
        <v>889</v>
      </c>
      <c r="C64" s="256"/>
      <c r="D64" s="256"/>
      <c r="E64" s="312">
        <v>2.5</v>
      </c>
      <c r="F64" s="256"/>
      <c r="G64" s="256"/>
      <c r="H64" s="256"/>
    </row>
    <row r="65" spans="1:8" ht="30" x14ac:dyDescent="0.25">
      <c r="A65" s="1282"/>
      <c r="B65" s="256" t="s">
        <v>890</v>
      </c>
      <c r="C65" s="256"/>
      <c r="D65" s="256"/>
      <c r="E65" s="312">
        <v>2.5</v>
      </c>
      <c r="F65" s="256"/>
      <c r="G65" s="256"/>
      <c r="H65" s="256"/>
    </row>
    <row r="66" spans="1:8" x14ac:dyDescent="0.25">
      <c r="A66" s="1282" t="s">
        <v>894</v>
      </c>
      <c r="B66" s="256" t="s">
        <v>889</v>
      </c>
      <c r="C66" s="256"/>
      <c r="D66" s="256"/>
      <c r="E66" s="313" t="s">
        <v>895</v>
      </c>
      <c r="F66" s="256"/>
      <c r="G66" s="256"/>
      <c r="H66" s="256"/>
    </row>
    <row r="67" spans="1:8" ht="30" x14ac:dyDescent="0.25">
      <c r="A67" s="1282"/>
      <c r="B67" s="256" t="s">
        <v>890</v>
      </c>
      <c r="C67" s="256"/>
      <c r="D67" s="256"/>
      <c r="E67" s="313" t="s">
        <v>895</v>
      </c>
      <c r="F67" s="256"/>
      <c r="G67" s="256"/>
      <c r="H67" s="256"/>
    </row>
    <row r="68" spans="1:8" x14ac:dyDescent="0.25">
      <c r="A68" s="1282" t="s">
        <v>0</v>
      </c>
      <c r="B68" s="256" t="s">
        <v>889</v>
      </c>
      <c r="C68" s="256"/>
      <c r="D68" s="256"/>
      <c r="E68" s="256"/>
      <c r="F68" s="256"/>
      <c r="G68" s="256"/>
      <c r="H68" s="256"/>
    </row>
    <row r="69" spans="1:8" ht="30" x14ac:dyDescent="0.25">
      <c r="A69" s="1282"/>
      <c r="B69" s="256" t="s">
        <v>890</v>
      </c>
      <c r="C69" s="256"/>
      <c r="D69" s="256"/>
      <c r="E69" s="256"/>
      <c r="F69" s="256"/>
      <c r="G69" s="256"/>
      <c r="H69" s="256"/>
    </row>
    <row r="71" spans="1:8" x14ac:dyDescent="0.25">
      <c r="A71" s="34" t="s">
        <v>902</v>
      </c>
    </row>
    <row r="72" spans="1:8" x14ac:dyDescent="0.25">
      <c r="A72" s="1288" t="s">
        <v>903</v>
      </c>
      <c r="B72" s="1288"/>
      <c r="C72" s="1288"/>
      <c r="D72" s="1288"/>
      <c r="E72" s="1288"/>
      <c r="F72" s="1288"/>
      <c r="G72" s="1288"/>
    </row>
    <row r="73" spans="1:8" ht="30" x14ac:dyDescent="0.25">
      <c r="A73" s="1286" t="s">
        <v>904</v>
      </c>
      <c r="B73" s="6" t="s">
        <v>886</v>
      </c>
      <c r="C73" s="6" t="s">
        <v>887</v>
      </c>
      <c r="D73" s="245" t="s">
        <v>762</v>
      </c>
      <c r="E73" s="245" t="s">
        <v>103</v>
      </c>
      <c r="F73" s="245" t="s">
        <v>861</v>
      </c>
      <c r="G73" s="245" t="s">
        <v>782</v>
      </c>
    </row>
    <row r="74" spans="1:8" x14ac:dyDescent="0.25">
      <c r="A74" s="1287"/>
      <c r="B74" s="313" t="s">
        <v>105</v>
      </c>
      <c r="C74" s="313" t="s">
        <v>104</v>
      </c>
      <c r="D74" s="313" t="s">
        <v>99</v>
      </c>
      <c r="E74" s="313" t="s">
        <v>98</v>
      </c>
      <c r="F74" s="313" t="s">
        <v>97</v>
      </c>
      <c r="G74" s="313" t="s">
        <v>113</v>
      </c>
    </row>
    <row r="75" spans="1:8" ht="30" x14ac:dyDescent="0.25">
      <c r="A75" s="256" t="s">
        <v>905</v>
      </c>
      <c r="B75" s="256"/>
      <c r="C75" s="256"/>
      <c r="D75" s="312">
        <v>1.9</v>
      </c>
      <c r="E75" s="256"/>
      <c r="F75" s="256"/>
      <c r="G75" s="256"/>
    </row>
    <row r="76" spans="1:8" ht="30" x14ac:dyDescent="0.25">
      <c r="A76" s="256" t="s">
        <v>906</v>
      </c>
      <c r="B76" s="256"/>
      <c r="C76" s="256"/>
      <c r="D76" s="312">
        <v>2.9</v>
      </c>
      <c r="E76" s="256"/>
      <c r="F76" s="256"/>
      <c r="G76" s="256"/>
    </row>
    <row r="77" spans="1:8" ht="45" x14ac:dyDescent="0.25">
      <c r="A77" s="256" t="s">
        <v>907</v>
      </c>
      <c r="B77" s="256"/>
      <c r="C77" s="256"/>
      <c r="D77" s="312">
        <v>3.7</v>
      </c>
      <c r="E77" s="256"/>
      <c r="F77" s="256"/>
      <c r="G77" s="256"/>
    </row>
    <row r="78" spans="1:8" x14ac:dyDescent="0.25">
      <c r="A78" s="256" t="s">
        <v>0</v>
      </c>
      <c r="B78" s="256"/>
      <c r="C78" s="256"/>
      <c r="D78" s="256"/>
      <c r="E78" s="256"/>
      <c r="F78" s="256"/>
      <c r="G78" s="256"/>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hyperlinks>
    <hyperlink ref="A1" location="Indhold!B83" display="Skema EU CR10 – Specialiseret långivning og aktieeksponeringer i henhold til den forenklede risikovægtningsmetode" xr:uid="{26B0CB37-B826-4642-92EF-B9AEEE55732D}"/>
  </hyperlinks>
  <pageMargins left="0.70866141732283472" right="0.70866141732283472" top="0.74803149606299213" bottom="0.74803149606299213" header="0.31496062992125984" footer="0.31496062992125984"/>
  <pageSetup paperSize="9" scale="92" fitToHeight="0" orientation="landscape" r:id="rId1"/>
  <headerFooter>
    <oddHeader>&amp;CDA
Bilag XXIII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6000-7068-4456-83EB-88CEB55FB1B3}">
  <sheetPr>
    <tabColor rgb="FFFF0000"/>
  </sheetPr>
  <dimension ref="A1:T28"/>
  <sheetViews>
    <sheetView showGridLines="0" zoomScaleNormal="100" workbookViewId="0"/>
  </sheetViews>
  <sheetFormatPr defaultColWidth="9.140625" defaultRowHeight="15" x14ac:dyDescent="0.25"/>
  <cols>
    <col min="2" max="2" width="20.5703125" customWidth="1"/>
    <col min="3" max="3" width="29.28515625" customWidth="1"/>
    <col min="4" max="8" width="13.28515625" customWidth="1"/>
    <col min="9" max="10" width="14.28515625" customWidth="1"/>
  </cols>
  <sheetData>
    <row r="1" spans="1:13" x14ac:dyDescent="0.25">
      <c r="A1" s="878" t="s">
        <v>935</v>
      </c>
    </row>
    <row r="2" spans="1:13" ht="15.75" x14ac:dyDescent="0.25">
      <c r="A2" s="316" t="s">
        <v>909</v>
      </c>
      <c r="E2" s="330"/>
    </row>
    <row r="3" spans="1:13" x14ac:dyDescent="0.25">
      <c r="B3" s="70"/>
      <c r="C3" s="317"/>
      <c r="D3" s="331"/>
      <c r="E3" s="317"/>
      <c r="F3" s="317"/>
      <c r="G3" s="317"/>
      <c r="H3" s="317"/>
      <c r="I3" s="317"/>
      <c r="J3" s="317"/>
      <c r="M3" s="131"/>
    </row>
    <row r="4" spans="1:13" ht="20.100000000000001" customHeight="1" x14ac:dyDescent="0.25">
      <c r="B4" s="245"/>
      <c r="C4" s="33"/>
      <c r="D4" s="10" t="s">
        <v>105</v>
      </c>
      <c r="E4" s="10" t="s">
        <v>104</v>
      </c>
      <c r="F4" s="10" t="s">
        <v>99</v>
      </c>
      <c r="G4" s="10" t="s">
        <v>98</v>
      </c>
      <c r="H4" s="10" t="s">
        <v>97</v>
      </c>
      <c r="I4" s="10" t="s">
        <v>113</v>
      </c>
      <c r="J4" s="13" t="s">
        <v>114</v>
      </c>
    </row>
    <row r="5" spans="1:13" ht="20.100000000000001" customHeight="1" x14ac:dyDescent="0.25">
      <c r="B5" s="1292"/>
      <c r="C5" s="1282" t="s">
        <v>936</v>
      </c>
      <c r="D5" s="946" t="s">
        <v>1283</v>
      </c>
      <c r="E5" s="1289" t="s">
        <v>1284</v>
      </c>
      <c r="F5" s="1289" t="s">
        <v>777</v>
      </c>
      <c r="G5" s="1289" t="s">
        <v>1285</v>
      </c>
      <c r="H5" s="1289" t="s">
        <v>1286</v>
      </c>
      <c r="I5" s="1289" t="s">
        <v>90</v>
      </c>
      <c r="J5" s="1289" t="s">
        <v>781</v>
      </c>
    </row>
    <row r="6" spans="1:13" ht="81" customHeight="1" x14ac:dyDescent="0.25">
      <c r="A6" s="332"/>
      <c r="B6" s="1292"/>
      <c r="C6" s="1282"/>
      <c r="D6" s="948"/>
      <c r="E6" s="1290"/>
      <c r="F6" s="1290"/>
      <c r="G6" s="1290"/>
      <c r="H6" s="1290"/>
      <c r="I6" s="1290"/>
      <c r="J6" s="1290"/>
    </row>
    <row r="7" spans="1:13" ht="34.5" customHeight="1" x14ac:dyDescent="0.25">
      <c r="A7" s="138" t="s">
        <v>937</v>
      </c>
      <c r="B7" s="64" t="s">
        <v>784</v>
      </c>
      <c r="C7" s="33"/>
      <c r="D7" s="64"/>
      <c r="E7" s="64"/>
      <c r="F7" s="64"/>
      <c r="G7" s="64"/>
      <c r="H7" s="64"/>
      <c r="I7" s="64"/>
      <c r="J7" s="64"/>
    </row>
    <row r="8" spans="1:13" ht="20.100000000000001" customHeight="1" x14ac:dyDescent="0.25">
      <c r="A8" s="333">
        <v>1</v>
      </c>
      <c r="B8" s="64"/>
      <c r="C8" s="33" t="s">
        <v>785</v>
      </c>
      <c r="D8" s="64"/>
      <c r="E8" s="64"/>
      <c r="F8" s="64"/>
      <c r="G8" s="64"/>
      <c r="H8" s="64"/>
      <c r="I8" s="64"/>
      <c r="J8" s="64"/>
    </row>
    <row r="9" spans="1:13" ht="20.100000000000001" customHeight="1" x14ac:dyDescent="0.25">
      <c r="A9" s="333">
        <v>2</v>
      </c>
      <c r="B9" s="64"/>
      <c r="C9" s="33" t="s">
        <v>788</v>
      </c>
      <c r="D9" s="64"/>
      <c r="E9" s="64"/>
      <c r="F9" s="64"/>
      <c r="G9" s="64"/>
      <c r="H9" s="64"/>
      <c r="I9" s="64"/>
      <c r="J9" s="64"/>
    </row>
    <row r="10" spans="1:13" ht="20.100000000000001" customHeight="1" x14ac:dyDescent="0.25">
      <c r="A10" s="333">
        <v>3</v>
      </c>
      <c r="B10" s="64"/>
      <c r="C10" s="33" t="s">
        <v>789</v>
      </c>
      <c r="D10" s="64"/>
      <c r="E10" s="64"/>
      <c r="F10" s="64"/>
      <c r="G10" s="64"/>
      <c r="H10" s="64"/>
      <c r="I10" s="64"/>
      <c r="J10" s="64"/>
    </row>
    <row r="11" spans="1:13" ht="20.100000000000001" customHeight="1" x14ac:dyDescent="0.25">
      <c r="A11" s="333">
        <v>4</v>
      </c>
      <c r="B11" s="64"/>
      <c r="C11" s="33" t="s">
        <v>790</v>
      </c>
      <c r="D11" s="64"/>
      <c r="E11" s="64"/>
      <c r="F11" s="64"/>
      <c r="G11" s="64"/>
      <c r="H11" s="64"/>
      <c r="I11" s="64"/>
      <c r="J11" s="64"/>
    </row>
    <row r="12" spans="1:13" ht="20.100000000000001" customHeight="1" x14ac:dyDescent="0.25">
      <c r="A12" s="333">
        <v>5</v>
      </c>
      <c r="B12" s="64"/>
      <c r="C12" s="33" t="s">
        <v>791</v>
      </c>
      <c r="D12" s="64"/>
      <c r="E12" s="64"/>
      <c r="F12" s="64"/>
      <c r="G12" s="64"/>
      <c r="H12" s="64"/>
      <c r="I12" s="64"/>
      <c r="J12" s="64"/>
    </row>
    <row r="13" spans="1:13" ht="20.100000000000001" customHeight="1" x14ac:dyDescent="0.25">
      <c r="A13" s="333">
        <v>6</v>
      </c>
      <c r="B13" s="64"/>
      <c r="C13" s="33" t="s">
        <v>794</v>
      </c>
      <c r="D13" s="64"/>
      <c r="E13" s="64"/>
      <c r="F13" s="64"/>
      <c r="G13" s="64"/>
      <c r="H13" s="64"/>
      <c r="I13" s="64"/>
      <c r="J13" s="64"/>
    </row>
    <row r="14" spans="1:13" ht="20.100000000000001" customHeight="1" x14ac:dyDescent="0.25">
      <c r="A14" s="333">
        <v>7</v>
      </c>
      <c r="B14" s="64"/>
      <c r="C14" s="33" t="s">
        <v>797</v>
      </c>
      <c r="D14" s="64"/>
      <c r="E14" s="64"/>
      <c r="F14" s="64"/>
      <c r="G14" s="64"/>
      <c r="H14" s="64"/>
      <c r="I14" s="64"/>
      <c r="J14" s="64"/>
    </row>
    <row r="15" spans="1:13" ht="20.100000000000001" customHeight="1" x14ac:dyDescent="0.25">
      <c r="A15" s="333">
        <v>8</v>
      </c>
      <c r="B15" s="64"/>
      <c r="C15" s="33" t="s">
        <v>801</v>
      </c>
      <c r="D15" s="64"/>
      <c r="E15" s="64"/>
      <c r="F15" s="64"/>
      <c r="G15" s="64"/>
      <c r="H15" s="64"/>
      <c r="I15" s="64"/>
      <c r="J15" s="64"/>
    </row>
    <row r="16" spans="1:13" ht="20.100000000000001" customHeight="1" x14ac:dyDescent="0.25">
      <c r="A16" s="333" t="s">
        <v>938</v>
      </c>
      <c r="B16" s="64"/>
      <c r="C16" s="10" t="s">
        <v>939</v>
      </c>
      <c r="D16" s="64"/>
      <c r="E16" s="64"/>
      <c r="F16" s="64"/>
      <c r="G16" s="64"/>
      <c r="H16" s="64"/>
      <c r="I16" s="64"/>
      <c r="J16" s="64"/>
    </row>
    <row r="17" spans="1:20" x14ac:dyDescent="0.25">
      <c r="A17" s="334" t="s">
        <v>940</v>
      </c>
      <c r="B17" s="1291" t="s">
        <v>941</v>
      </c>
      <c r="C17" s="1291"/>
      <c r="D17" s="64"/>
      <c r="E17" s="64"/>
      <c r="F17" s="64"/>
      <c r="G17" s="64"/>
      <c r="H17" s="64"/>
      <c r="I17" s="64"/>
      <c r="J17" s="64"/>
    </row>
    <row r="18" spans="1:20" x14ac:dyDescent="0.25">
      <c r="B18" s="96"/>
    </row>
    <row r="27" spans="1:20" ht="23.25" x14ac:dyDescent="0.35">
      <c r="O27" s="324"/>
      <c r="P27" s="335"/>
      <c r="Q27" s="335"/>
      <c r="R27" s="335"/>
      <c r="S27" s="335"/>
      <c r="T27" s="335"/>
    </row>
    <row r="28" spans="1:20" x14ac:dyDescent="0.25">
      <c r="O28" s="131"/>
    </row>
  </sheetData>
  <mergeCells count="10">
    <mergeCell ref="H5:H6"/>
    <mergeCell ref="I5:I6"/>
    <mergeCell ref="J5:J6"/>
    <mergeCell ref="B17:C17"/>
    <mergeCell ref="B5:B6"/>
    <mergeCell ref="C5:C6"/>
    <mergeCell ref="D5:D6"/>
    <mergeCell ref="E5:E6"/>
    <mergeCell ref="F5:F6"/>
    <mergeCell ref="G5:G6"/>
  </mergeCells>
  <hyperlinks>
    <hyperlink ref="A1" location="Indhold!B84" display="Skema EU CCR4 — IRB-metoden — modpartskreditrisikoeksponeringer efter eksponeringsklasse og PD-skala" xr:uid="{DF268006-509E-4518-8A62-1B495EB0EFA5}"/>
  </hyperlinks>
  <pageMargins left="0.70866141732283472" right="0.70866141732283472" top="0.74803149606299213" bottom="0.74803149606299213" header="0.31496062992125984" footer="0.31496062992125984"/>
  <pageSetup paperSize="9" scale="95" fitToWidth="0" fitToHeight="0" orientation="landscape" r:id="rId1"/>
  <headerFooter>
    <oddHeader>&amp;CDA
Bilag XXV</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848B1-FE79-4B65-AE4E-5068966D1602}">
  <sheetPr>
    <tabColor rgb="FFFF0000"/>
    <pageSetUpPr fitToPage="1"/>
  </sheetPr>
  <dimension ref="A1:C15"/>
  <sheetViews>
    <sheetView showGridLines="0" zoomScaleNormal="100" workbookViewId="0"/>
  </sheetViews>
  <sheetFormatPr defaultColWidth="9.140625" defaultRowHeight="15" x14ac:dyDescent="0.25"/>
  <cols>
    <col min="1" max="1" width="7.7109375" customWidth="1"/>
    <col min="2" max="2" width="55" customWidth="1"/>
    <col min="3" max="3" width="14.42578125" customWidth="1"/>
  </cols>
  <sheetData>
    <row r="1" spans="1:3" x14ac:dyDescent="0.25">
      <c r="A1" s="878" t="s">
        <v>971</v>
      </c>
    </row>
    <row r="2" spans="1:3" ht="15.75" x14ac:dyDescent="0.25">
      <c r="A2" s="316" t="s">
        <v>909</v>
      </c>
    </row>
    <row r="3" spans="1:3" x14ac:dyDescent="0.25">
      <c r="A3" s="268"/>
      <c r="B3" s="268"/>
      <c r="C3" s="336"/>
    </row>
    <row r="4" spans="1:3" ht="20.100000000000001" customHeight="1" x14ac:dyDescent="0.25">
      <c r="A4" s="337"/>
      <c r="B4" s="337"/>
      <c r="C4" s="320" t="s">
        <v>105</v>
      </c>
    </row>
    <row r="5" spans="1:3" ht="25.5" x14ac:dyDescent="0.25">
      <c r="A5" s="337"/>
      <c r="B5" s="338"/>
      <c r="C5" s="320" t="s">
        <v>90</v>
      </c>
    </row>
    <row r="6" spans="1:3" ht="25.5" x14ac:dyDescent="0.25">
      <c r="A6" s="339">
        <v>1</v>
      </c>
      <c r="B6" s="326" t="s">
        <v>972</v>
      </c>
      <c r="C6" s="328">
        <v>0</v>
      </c>
    </row>
    <row r="7" spans="1:3" ht="20.100000000000001" customHeight="1" x14ac:dyDescent="0.25">
      <c r="A7" s="320">
        <v>2</v>
      </c>
      <c r="B7" s="322" t="s">
        <v>973</v>
      </c>
      <c r="C7" s="328">
        <v>0</v>
      </c>
    </row>
    <row r="8" spans="1:3" ht="20.100000000000001" customHeight="1" x14ac:dyDescent="0.25">
      <c r="A8" s="320">
        <v>3</v>
      </c>
      <c r="B8" s="322" t="s">
        <v>974</v>
      </c>
      <c r="C8" s="328">
        <v>0</v>
      </c>
    </row>
    <row r="9" spans="1:3" ht="20.100000000000001" customHeight="1" x14ac:dyDescent="0.25">
      <c r="A9" s="320">
        <v>4</v>
      </c>
      <c r="B9" s="322" t="s">
        <v>975</v>
      </c>
      <c r="C9" s="328">
        <v>0</v>
      </c>
    </row>
    <row r="10" spans="1:3" ht="20.100000000000001" customHeight="1" x14ac:dyDescent="0.25">
      <c r="A10" s="320">
        <v>5</v>
      </c>
      <c r="B10" s="322" t="s">
        <v>976</v>
      </c>
      <c r="C10" s="328">
        <v>0</v>
      </c>
    </row>
    <row r="11" spans="1:3" ht="20.100000000000001" customHeight="1" x14ac:dyDescent="0.25">
      <c r="A11" s="320">
        <v>6</v>
      </c>
      <c r="B11" s="322" t="s">
        <v>977</v>
      </c>
      <c r="C11" s="328">
        <v>0</v>
      </c>
    </row>
    <row r="12" spans="1:3" ht="20.100000000000001" customHeight="1" x14ac:dyDescent="0.25">
      <c r="A12" s="320">
        <v>7</v>
      </c>
      <c r="B12" s="322" t="s">
        <v>978</v>
      </c>
      <c r="C12" s="328">
        <v>0</v>
      </c>
    </row>
    <row r="13" spans="1:3" ht="20.100000000000001" customHeight="1" x14ac:dyDescent="0.25">
      <c r="A13" s="320">
        <v>8</v>
      </c>
      <c r="B13" s="322" t="s">
        <v>979</v>
      </c>
      <c r="C13" s="328">
        <v>0</v>
      </c>
    </row>
    <row r="14" spans="1:3" ht="25.5" x14ac:dyDescent="0.25">
      <c r="A14" s="339">
        <v>9</v>
      </c>
      <c r="B14" s="326" t="s">
        <v>980</v>
      </c>
      <c r="C14" s="328">
        <v>0</v>
      </c>
    </row>
    <row r="15" spans="1:3" x14ac:dyDescent="0.25">
      <c r="A15" s="1"/>
      <c r="B15" s="1"/>
      <c r="C15" s="1"/>
    </row>
  </sheetData>
  <hyperlinks>
    <hyperlink ref="A1" location="Indhold!B85" display="Skema EU CCR7 - RWEA-flowtabeller for markedsrisikoeksponeringer i henhold til IMM" xr:uid="{B0822707-22CF-4460-AAE8-3B8B90DC9F55}"/>
  </hyperlinks>
  <pageMargins left="0.70866141732283472" right="0.70866141732283472" top="0.74803149606299213" bottom="0.74803149606299213" header="0.31496062992125984" footer="0.31496062992125984"/>
  <pageSetup paperSize="9" orientation="landscape" r:id="rId1"/>
  <headerFooter>
    <oddHeader>&amp;CDA
Bilag XXV</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DA82-CD43-40DF-B564-C572A3AB5BC2}">
  <sheetPr>
    <tabColor rgb="FFFF0000"/>
    <pageSetUpPr fitToPage="1"/>
  </sheetPr>
  <dimension ref="A1:P19"/>
  <sheetViews>
    <sheetView showGridLines="0" zoomScaleNormal="100" workbookViewId="0"/>
  </sheetViews>
  <sheetFormatPr defaultColWidth="11.42578125" defaultRowHeight="15" x14ac:dyDescent="0.25"/>
  <cols>
    <col min="1" max="1" width="5.5703125" style="41" customWidth="1"/>
    <col min="2" max="2" width="65" customWidth="1"/>
    <col min="3" max="3" width="14.5703125" customWidth="1"/>
    <col min="4" max="4" width="14.7109375" customWidth="1"/>
  </cols>
  <sheetData>
    <row r="1" spans="1:16" ht="26.25" customHeight="1" x14ac:dyDescent="0.3">
      <c r="A1" s="878" t="s">
        <v>1060</v>
      </c>
      <c r="B1" s="422"/>
      <c r="C1" s="422"/>
      <c r="D1" s="422"/>
      <c r="E1" s="422"/>
      <c r="F1" s="422"/>
      <c r="G1" s="422"/>
      <c r="H1" s="422"/>
      <c r="I1" s="422"/>
      <c r="J1" s="422"/>
      <c r="K1" s="422"/>
      <c r="L1" s="422"/>
      <c r="M1" s="422"/>
      <c r="N1" s="422"/>
      <c r="O1" s="422"/>
      <c r="P1" s="422"/>
    </row>
    <row r="3" spans="1:16" x14ac:dyDescent="0.25">
      <c r="A3" s="1293"/>
      <c r="B3" s="1294"/>
      <c r="C3" s="360" t="s">
        <v>105</v>
      </c>
      <c r="D3" s="360" t="s">
        <v>104</v>
      </c>
    </row>
    <row r="4" spans="1:16" ht="38.25" x14ac:dyDescent="0.25">
      <c r="A4" s="1295"/>
      <c r="B4" s="1296"/>
      <c r="C4" s="360" t="s">
        <v>1050</v>
      </c>
      <c r="D4" s="360" t="s">
        <v>1287</v>
      </c>
    </row>
    <row r="5" spans="1:16" ht="21.75" customHeight="1" x14ac:dyDescent="0.25">
      <c r="A5" s="361">
        <v>1</v>
      </c>
      <c r="B5" s="362" t="s">
        <v>1061</v>
      </c>
      <c r="C5" s="363">
        <v>0</v>
      </c>
      <c r="D5" s="363">
        <v>0</v>
      </c>
    </row>
    <row r="6" spans="1:16" ht="27" customHeight="1" x14ac:dyDescent="0.25">
      <c r="A6" s="360" t="s">
        <v>1062</v>
      </c>
      <c r="B6" s="364" t="s">
        <v>1063</v>
      </c>
      <c r="C6" s="365"/>
      <c r="D6" s="363">
        <v>0</v>
      </c>
    </row>
    <row r="7" spans="1:16" ht="42.75" customHeight="1" x14ac:dyDescent="0.25">
      <c r="A7" s="360" t="s">
        <v>1064</v>
      </c>
      <c r="B7" s="366" t="s">
        <v>1065</v>
      </c>
      <c r="C7" s="365"/>
      <c r="D7" s="363">
        <v>0</v>
      </c>
    </row>
    <row r="8" spans="1:16" ht="21" customHeight="1" x14ac:dyDescent="0.25">
      <c r="A8" s="361">
        <v>2</v>
      </c>
      <c r="B8" s="362" t="s">
        <v>1066</v>
      </c>
      <c r="C8" s="363">
        <v>0</v>
      </c>
      <c r="D8" s="363">
        <v>0</v>
      </c>
    </row>
    <row r="9" spans="1:16" ht="32.25" customHeight="1" x14ac:dyDescent="0.25">
      <c r="A9" s="360" t="s">
        <v>1062</v>
      </c>
      <c r="B9" s="364" t="s">
        <v>1067</v>
      </c>
      <c r="C9" s="365"/>
      <c r="D9" s="363">
        <v>0</v>
      </c>
    </row>
    <row r="10" spans="1:16" ht="48.75" customHeight="1" x14ac:dyDescent="0.25">
      <c r="A10" s="360" t="s">
        <v>1064</v>
      </c>
      <c r="B10" s="366" t="s">
        <v>1068</v>
      </c>
      <c r="C10" s="365"/>
      <c r="D10" s="363">
        <v>0</v>
      </c>
    </row>
    <row r="11" spans="1:16" ht="22.5" customHeight="1" x14ac:dyDescent="0.25">
      <c r="A11" s="361">
        <v>3</v>
      </c>
      <c r="B11" s="362" t="s">
        <v>1069</v>
      </c>
      <c r="C11" s="363">
        <v>0</v>
      </c>
      <c r="D11" s="363">
        <v>0</v>
      </c>
    </row>
    <row r="12" spans="1:16" ht="53.25" customHeight="1" x14ac:dyDescent="0.25">
      <c r="A12" s="360" t="s">
        <v>1062</v>
      </c>
      <c r="B12" s="366" t="s">
        <v>1070</v>
      </c>
      <c r="C12" s="365"/>
      <c r="D12" s="363">
        <v>0</v>
      </c>
    </row>
    <row r="13" spans="1:16" ht="24" customHeight="1" x14ac:dyDescent="0.25">
      <c r="A13" s="360" t="s">
        <v>1064</v>
      </c>
      <c r="B13" s="364" t="s">
        <v>1071</v>
      </c>
      <c r="C13" s="365"/>
      <c r="D13" s="363">
        <v>0</v>
      </c>
    </row>
    <row r="14" spans="1:16" ht="26.25" customHeight="1" x14ac:dyDescent="0.25">
      <c r="A14" s="361">
        <v>4</v>
      </c>
      <c r="B14" s="364" t="s">
        <v>1072</v>
      </c>
      <c r="C14" s="363">
        <v>0</v>
      </c>
      <c r="D14" s="363">
        <v>0</v>
      </c>
    </row>
    <row r="15" spans="1:16" ht="39.75" customHeight="1" x14ac:dyDescent="0.25">
      <c r="A15" s="360" t="s">
        <v>1062</v>
      </c>
      <c r="B15" s="366" t="s">
        <v>1073</v>
      </c>
      <c r="C15" s="365"/>
      <c r="D15" s="363">
        <v>0</v>
      </c>
    </row>
    <row r="16" spans="1:16" ht="31.5" customHeight="1" x14ac:dyDescent="0.25">
      <c r="A16" s="360" t="s">
        <v>1064</v>
      </c>
      <c r="B16" s="366" t="s">
        <v>1074</v>
      </c>
      <c r="C16" s="365"/>
      <c r="D16" s="363">
        <v>0</v>
      </c>
    </row>
    <row r="17" spans="1:4" ht="52.5" customHeight="1" x14ac:dyDescent="0.25">
      <c r="A17" s="360" t="s">
        <v>1075</v>
      </c>
      <c r="B17" s="367" t="s">
        <v>1076</v>
      </c>
      <c r="C17" s="365"/>
      <c r="D17" s="363">
        <v>0</v>
      </c>
    </row>
    <row r="18" spans="1:4" x14ac:dyDescent="0.25">
      <c r="A18" s="361">
        <v>5</v>
      </c>
      <c r="B18" s="364" t="s">
        <v>1077</v>
      </c>
      <c r="C18" s="363">
        <v>0</v>
      </c>
      <c r="D18" s="363">
        <v>0</v>
      </c>
    </row>
    <row r="19" spans="1:4" x14ac:dyDescent="0.25">
      <c r="A19" s="361">
        <v>6</v>
      </c>
      <c r="B19" s="362" t="s">
        <v>0</v>
      </c>
      <c r="C19" s="363">
        <v>0</v>
      </c>
      <c r="D19" s="363">
        <v>0</v>
      </c>
    </row>
  </sheetData>
  <mergeCells count="2">
    <mergeCell ref="A3:B3"/>
    <mergeCell ref="A4:B4"/>
  </mergeCells>
  <hyperlinks>
    <hyperlink ref="A1" location="Indhold!B86" display="Skema EU MR2-A - Markedsrisiko i henhold til metoden med interne modeller (IMA)" xr:uid="{FE694E96-F3D8-4545-82D0-3DBBB9BBA685}"/>
  </hyperlinks>
  <pageMargins left="0.70866141732283472" right="0.70866141732283472" top="0.86614173228346458" bottom="0.74803149606299213" header="0.31496062992125984" footer="0.31496062992125984"/>
  <pageSetup paperSize="9" fitToHeight="0" orientation="landscape" r:id="rId1"/>
  <headerFooter>
    <oddHeader>&amp;CDA
Bilag XXIX</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22A5-90CD-45E5-BBE1-AFB45E4A81DB}">
  <sheetPr>
    <tabColor rgb="FFFF0000"/>
    <pageSetUpPr fitToPage="1"/>
  </sheetPr>
  <dimension ref="A1:P17"/>
  <sheetViews>
    <sheetView showGridLines="0" zoomScaleNormal="100" workbookViewId="0"/>
  </sheetViews>
  <sheetFormatPr defaultColWidth="11.42578125" defaultRowHeight="15" x14ac:dyDescent="0.25"/>
  <cols>
    <col min="1" max="1" width="3.5703125" customWidth="1"/>
    <col min="2" max="2" width="50.140625" customWidth="1"/>
    <col min="6" max="6" width="15.28515625" customWidth="1"/>
    <col min="8" max="9" width="14.28515625" customWidth="1"/>
  </cols>
  <sheetData>
    <row r="1" spans="1:16" ht="15.75" customHeight="1" x14ac:dyDescent="0.3">
      <c r="A1" s="878" t="s">
        <v>1078</v>
      </c>
      <c r="B1" s="422"/>
      <c r="C1" s="422"/>
      <c r="D1" s="422"/>
      <c r="E1" s="422"/>
      <c r="F1" s="422"/>
      <c r="G1" s="422"/>
      <c r="H1" s="422"/>
      <c r="I1" s="422"/>
      <c r="J1" s="422"/>
      <c r="K1" s="422"/>
      <c r="L1" s="422"/>
      <c r="M1" s="422"/>
      <c r="N1" s="422"/>
      <c r="O1" s="422"/>
      <c r="P1" s="422"/>
    </row>
    <row r="2" spans="1:16" ht="15.75" customHeight="1" x14ac:dyDescent="0.25">
      <c r="A2" s="368"/>
      <c r="B2" s="368"/>
      <c r="C2" s="368"/>
      <c r="D2" s="368"/>
      <c r="E2" s="368"/>
      <c r="F2" s="368"/>
    </row>
    <row r="4" spans="1:16" x14ac:dyDescent="0.25">
      <c r="A4" s="1297"/>
      <c r="B4" s="1298"/>
      <c r="C4" s="318" t="s">
        <v>105</v>
      </c>
      <c r="D4" s="318" t="s">
        <v>104</v>
      </c>
      <c r="E4" s="318" t="s">
        <v>99</v>
      </c>
      <c r="F4" s="318" t="s">
        <v>98</v>
      </c>
      <c r="G4" s="360" t="s">
        <v>97</v>
      </c>
      <c r="H4" s="318" t="s">
        <v>113</v>
      </c>
      <c r="I4" s="318" t="s">
        <v>114</v>
      </c>
    </row>
    <row r="5" spans="1:16" ht="38.25" x14ac:dyDescent="0.25">
      <c r="A5" s="1299"/>
      <c r="B5" s="1300"/>
      <c r="C5" s="318" t="s">
        <v>1079</v>
      </c>
      <c r="D5" s="318" t="s">
        <v>1080</v>
      </c>
      <c r="E5" s="318" t="s">
        <v>1081</v>
      </c>
      <c r="F5" s="318" t="s">
        <v>1082</v>
      </c>
      <c r="G5" s="360" t="s">
        <v>979</v>
      </c>
      <c r="H5" s="318" t="s">
        <v>1083</v>
      </c>
      <c r="I5" s="318" t="s">
        <v>1252</v>
      </c>
    </row>
    <row r="6" spans="1:16" ht="25.5" x14ac:dyDescent="0.25">
      <c r="A6" s="323">
        <v>1</v>
      </c>
      <c r="B6" s="358" t="s">
        <v>1084</v>
      </c>
      <c r="C6" s="49">
        <v>0</v>
      </c>
      <c r="D6" s="49">
        <v>0</v>
      </c>
      <c r="E6" s="49">
        <v>0</v>
      </c>
      <c r="F6" s="49">
        <v>0</v>
      </c>
      <c r="G6" s="49">
        <v>0</v>
      </c>
      <c r="H6" s="49">
        <v>0</v>
      </c>
      <c r="I6" s="49">
        <v>0</v>
      </c>
    </row>
    <row r="7" spans="1:16" ht="23.25" customHeight="1" x14ac:dyDescent="0.25">
      <c r="A7" s="369" t="s">
        <v>1085</v>
      </c>
      <c r="B7" s="370" t="s">
        <v>1086</v>
      </c>
      <c r="C7" s="49">
        <v>0</v>
      </c>
      <c r="D7" s="49">
        <v>0</v>
      </c>
      <c r="E7" s="49">
        <v>0</v>
      </c>
      <c r="F7" s="49">
        <v>0</v>
      </c>
      <c r="G7" s="49">
        <v>0</v>
      </c>
      <c r="H7" s="49">
        <v>0</v>
      </c>
      <c r="I7" s="49">
        <v>0</v>
      </c>
    </row>
    <row r="8" spans="1:16" ht="25.5" x14ac:dyDescent="0.25">
      <c r="A8" s="369" t="s">
        <v>1087</v>
      </c>
      <c r="B8" s="370" t="s">
        <v>1088</v>
      </c>
      <c r="C8" s="49">
        <v>0</v>
      </c>
      <c r="D8" s="49">
        <v>0</v>
      </c>
      <c r="E8" s="49">
        <v>0</v>
      </c>
      <c r="F8" s="49">
        <v>0</v>
      </c>
      <c r="G8" s="49">
        <v>0</v>
      </c>
      <c r="H8" s="49">
        <v>0</v>
      </c>
      <c r="I8" s="49">
        <v>0</v>
      </c>
    </row>
    <row r="9" spans="1:16" x14ac:dyDescent="0.25">
      <c r="A9" s="319">
        <v>2</v>
      </c>
      <c r="B9" s="319" t="s">
        <v>1089</v>
      </c>
      <c r="C9" s="49">
        <v>0</v>
      </c>
      <c r="D9" s="49">
        <v>0</v>
      </c>
      <c r="E9" s="49">
        <v>0</v>
      </c>
      <c r="F9" s="49">
        <v>0</v>
      </c>
      <c r="G9" s="49">
        <v>0</v>
      </c>
      <c r="H9" s="49">
        <v>0</v>
      </c>
      <c r="I9" s="49">
        <v>0</v>
      </c>
    </row>
    <row r="10" spans="1:16" x14ac:dyDescent="0.25">
      <c r="A10" s="319">
        <v>3</v>
      </c>
      <c r="B10" s="319" t="s">
        <v>1090</v>
      </c>
      <c r="C10" s="49">
        <v>0</v>
      </c>
      <c r="D10" s="49">
        <v>0</v>
      </c>
      <c r="E10" s="49">
        <v>0</v>
      </c>
      <c r="F10" s="49">
        <v>0</v>
      </c>
      <c r="G10" s="49">
        <v>0</v>
      </c>
      <c r="H10" s="49">
        <v>0</v>
      </c>
      <c r="I10" s="49">
        <v>0</v>
      </c>
    </row>
    <row r="11" spans="1:16" x14ac:dyDescent="0.25">
      <c r="A11" s="319">
        <v>4</v>
      </c>
      <c r="B11" s="319" t="s">
        <v>1091</v>
      </c>
      <c r="C11" s="49">
        <v>0</v>
      </c>
      <c r="D11" s="49">
        <v>0</v>
      </c>
      <c r="E11" s="49">
        <v>0</v>
      </c>
      <c r="F11" s="49">
        <v>0</v>
      </c>
      <c r="G11" s="49">
        <v>0</v>
      </c>
      <c r="H11" s="49">
        <v>0</v>
      </c>
      <c r="I11" s="49">
        <v>0</v>
      </c>
    </row>
    <row r="12" spans="1:16" x14ac:dyDescent="0.25">
      <c r="A12" s="371">
        <v>5</v>
      </c>
      <c r="B12" s="371" t="s">
        <v>1092</v>
      </c>
      <c r="C12" s="49">
        <v>0</v>
      </c>
      <c r="D12" s="49">
        <v>0</v>
      </c>
      <c r="E12" s="49">
        <v>0</v>
      </c>
      <c r="F12" s="49">
        <v>0</v>
      </c>
      <c r="G12" s="49">
        <v>0</v>
      </c>
      <c r="H12" s="49">
        <v>0</v>
      </c>
      <c r="I12" s="49">
        <v>0</v>
      </c>
    </row>
    <row r="13" spans="1:16" x14ac:dyDescent="0.25">
      <c r="A13" s="319">
        <v>6</v>
      </c>
      <c r="B13" s="319" t="s">
        <v>1093</v>
      </c>
      <c r="C13" s="49">
        <v>0</v>
      </c>
      <c r="D13" s="49">
        <v>0</v>
      </c>
      <c r="E13" s="49">
        <v>0</v>
      </c>
      <c r="F13" s="49">
        <v>0</v>
      </c>
      <c r="G13" s="49">
        <v>0</v>
      </c>
      <c r="H13" s="49">
        <v>0</v>
      </c>
      <c r="I13" s="49">
        <v>0</v>
      </c>
    </row>
    <row r="14" spans="1:16" x14ac:dyDescent="0.25">
      <c r="A14" s="319">
        <v>7</v>
      </c>
      <c r="B14" s="319" t="s">
        <v>1077</v>
      </c>
      <c r="C14" s="49">
        <v>0</v>
      </c>
      <c r="D14" s="49">
        <v>0</v>
      </c>
      <c r="E14" s="49">
        <v>0</v>
      </c>
      <c r="F14" s="49">
        <v>0</v>
      </c>
      <c r="G14" s="49">
        <v>0</v>
      </c>
      <c r="H14" s="49">
        <v>0</v>
      </c>
      <c r="I14" s="49">
        <v>0</v>
      </c>
    </row>
    <row r="15" spans="1:16" ht="25.5" x14ac:dyDescent="0.25">
      <c r="A15" s="369" t="s">
        <v>1094</v>
      </c>
      <c r="B15" s="370" t="s">
        <v>1095</v>
      </c>
      <c r="C15" s="49">
        <v>0</v>
      </c>
      <c r="D15" s="49">
        <v>0</v>
      </c>
      <c r="E15" s="49">
        <v>0</v>
      </c>
      <c r="F15" s="49">
        <v>0</v>
      </c>
      <c r="G15" s="49">
        <v>0</v>
      </c>
      <c r="H15" s="49">
        <v>0</v>
      </c>
      <c r="I15" s="49">
        <v>0</v>
      </c>
    </row>
    <row r="16" spans="1:16" x14ac:dyDescent="0.25">
      <c r="A16" s="369" t="s">
        <v>1096</v>
      </c>
      <c r="B16" s="370" t="s">
        <v>1086</v>
      </c>
      <c r="C16" s="49">
        <v>0</v>
      </c>
      <c r="D16" s="49">
        <v>0</v>
      </c>
      <c r="E16" s="49">
        <v>0</v>
      </c>
      <c r="F16" s="49">
        <v>0</v>
      </c>
      <c r="G16" s="49">
        <v>0</v>
      </c>
      <c r="H16" s="49">
        <v>0</v>
      </c>
      <c r="I16" s="49">
        <v>0</v>
      </c>
    </row>
    <row r="17" spans="1:9" ht="25.5" x14ac:dyDescent="0.25">
      <c r="A17" s="323">
        <v>8</v>
      </c>
      <c r="B17" s="358" t="s">
        <v>1097</v>
      </c>
      <c r="C17" s="49">
        <v>0</v>
      </c>
      <c r="D17" s="49">
        <v>0</v>
      </c>
      <c r="E17" s="49">
        <v>0</v>
      </c>
      <c r="F17" s="49">
        <v>0</v>
      </c>
      <c r="G17" s="49">
        <v>0</v>
      </c>
      <c r="H17" s="49">
        <v>0</v>
      </c>
      <c r="I17" s="49">
        <v>0</v>
      </c>
    </row>
  </sheetData>
  <mergeCells count="2">
    <mergeCell ref="A4:B4"/>
    <mergeCell ref="A5:B5"/>
  </mergeCells>
  <hyperlinks>
    <hyperlink ref="A1" location="Indhold!B87" display="Skema EU MR2-B - RWEA-flowtabeller for markedsrisikoeksponeringer i henhold til IMA" xr:uid="{4D85A020-F71F-42F4-91B3-15F2C2EEEBE5}"/>
  </hyperlinks>
  <pageMargins left="0.70866141732283472" right="0.70866141732283472" top="0.74803149606299213" bottom="0.74803149606299213" header="0.31496062992125984" footer="0.31496062992125984"/>
  <pageSetup paperSize="9" scale="95" orientation="landscape" r:id="rId1"/>
  <headerFooter>
    <oddHeader>&amp;CDA
Bilag XXIX</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7398-442B-42ED-BDCF-99E26564EAB0}">
  <sheetPr>
    <tabColor rgb="FFFF0000"/>
    <pageSetUpPr fitToPage="1"/>
  </sheetPr>
  <dimension ref="A1:P23"/>
  <sheetViews>
    <sheetView showGridLines="0" zoomScaleNormal="100" workbookViewId="0"/>
  </sheetViews>
  <sheetFormatPr defaultColWidth="11.42578125" defaultRowHeight="15" x14ac:dyDescent="0.25"/>
  <cols>
    <col min="1" max="1" width="6.85546875" style="91" customWidth="1"/>
    <col min="2" max="2" width="51.5703125" customWidth="1"/>
    <col min="3" max="3" width="21.7109375" customWidth="1"/>
  </cols>
  <sheetData>
    <row r="1" spans="1:16" ht="18.75" x14ac:dyDescent="0.3">
      <c r="A1" s="878" t="s">
        <v>1098</v>
      </c>
      <c r="B1" s="422"/>
      <c r="C1" s="422"/>
      <c r="D1" s="422"/>
      <c r="E1" s="422"/>
      <c r="F1" s="422"/>
      <c r="G1" s="422"/>
      <c r="H1" s="422"/>
      <c r="I1" s="422"/>
      <c r="J1" s="422"/>
      <c r="K1" s="422"/>
      <c r="L1" s="422"/>
      <c r="M1" s="422"/>
      <c r="N1" s="422"/>
      <c r="O1" s="422"/>
      <c r="P1" s="422"/>
    </row>
    <row r="3" spans="1:16" x14ac:dyDescent="0.25">
      <c r="A3" s="1299"/>
      <c r="B3" s="1300"/>
      <c r="C3" s="318" t="s">
        <v>105</v>
      </c>
    </row>
    <row r="4" spans="1:16" x14ac:dyDescent="0.25">
      <c r="A4" s="1301" t="s">
        <v>1099</v>
      </c>
      <c r="B4" s="1301"/>
      <c r="C4" s="1301"/>
    </row>
    <row r="5" spans="1:16" x14ac:dyDescent="0.25">
      <c r="A5" s="318">
        <v>1</v>
      </c>
      <c r="B5" s="319" t="s">
        <v>1100</v>
      </c>
      <c r="C5" s="49">
        <v>0</v>
      </c>
    </row>
    <row r="6" spans="1:16" x14ac:dyDescent="0.25">
      <c r="A6" s="318">
        <v>2</v>
      </c>
      <c r="B6" s="319" t="s">
        <v>1101</v>
      </c>
      <c r="C6" s="49">
        <v>0</v>
      </c>
    </row>
    <row r="7" spans="1:16" x14ac:dyDescent="0.25">
      <c r="A7" s="318">
        <v>3</v>
      </c>
      <c r="B7" s="319" t="s">
        <v>1102</v>
      </c>
      <c r="C7" s="49">
        <v>0</v>
      </c>
    </row>
    <row r="8" spans="1:16" x14ac:dyDescent="0.25">
      <c r="A8" s="318">
        <v>4</v>
      </c>
      <c r="B8" s="319" t="s">
        <v>1103</v>
      </c>
      <c r="C8" s="49">
        <v>0</v>
      </c>
    </row>
    <row r="9" spans="1:16" x14ac:dyDescent="0.25">
      <c r="A9" s="1301" t="s">
        <v>1104</v>
      </c>
      <c r="B9" s="1301"/>
      <c r="C9" s="1301"/>
    </row>
    <row r="10" spans="1:16" x14ac:dyDescent="0.25">
      <c r="A10" s="318">
        <v>5</v>
      </c>
      <c r="B10" s="319" t="s">
        <v>1100</v>
      </c>
      <c r="C10" s="49">
        <v>0</v>
      </c>
    </row>
    <row r="11" spans="1:16" x14ac:dyDescent="0.25">
      <c r="A11" s="318">
        <v>6</v>
      </c>
      <c r="B11" s="319" t="s">
        <v>1101</v>
      </c>
      <c r="C11" s="49">
        <v>0</v>
      </c>
    </row>
    <row r="12" spans="1:16" x14ac:dyDescent="0.25">
      <c r="A12" s="318">
        <v>7</v>
      </c>
      <c r="B12" s="319" t="s">
        <v>1102</v>
      </c>
      <c r="C12" s="49">
        <v>0</v>
      </c>
    </row>
    <row r="13" spans="1:16" x14ac:dyDescent="0.25">
      <c r="A13" s="318">
        <v>8</v>
      </c>
      <c r="B13" s="319" t="s">
        <v>1103</v>
      </c>
      <c r="C13" s="49">
        <v>0</v>
      </c>
    </row>
    <row r="14" spans="1:16" x14ac:dyDescent="0.25">
      <c r="A14" s="1301" t="s">
        <v>1105</v>
      </c>
      <c r="B14" s="1301"/>
      <c r="C14" s="1301"/>
    </row>
    <row r="15" spans="1:16" x14ac:dyDescent="0.25">
      <c r="A15" s="318">
        <v>9</v>
      </c>
      <c r="B15" s="319" t="s">
        <v>1100</v>
      </c>
      <c r="C15" s="49">
        <v>0</v>
      </c>
    </row>
    <row r="16" spans="1:16" x14ac:dyDescent="0.25">
      <c r="A16" s="318">
        <v>10</v>
      </c>
      <c r="B16" s="319" t="s">
        <v>1101</v>
      </c>
      <c r="C16" s="49">
        <v>0</v>
      </c>
    </row>
    <row r="17" spans="1:3" x14ac:dyDescent="0.25">
      <c r="A17" s="318">
        <v>11</v>
      </c>
      <c r="B17" s="319" t="s">
        <v>1102</v>
      </c>
      <c r="C17" s="49">
        <v>0</v>
      </c>
    </row>
    <row r="18" spans="1:3" x14ac:dyDescent="0.25">
      <c r="A18" s="318">
        <v>12</v>
      </c>
      <c r="B18" s="319" t="s">
        <v>1103</v>
      </c>
      <c r="C18" s="49">
        <v>0</v>
      </c>
    </row>
    <row r="19" spans="1:3" x14ac:dyDescent="0.25">
      <c r="A19" s="1301" t="s">
        <v>1106</v>
      </c>
      <c r="B19" s="1301"/>
      <c r="C19" s="1301"/>
    </row>
    <row r="20" spans="1:3" x14ac:dyDescent="0.25">
      <c r="A20" s="318">
        <v>13</v>
      </c>
      <c r="B20" s="319" t="s">
        <v>1100</v>
      </c>
      <c r="C20" s="49">
        <v>0</v>
      </c>
    </row>
    <row r="21" spans="1:3" x14ac:dyDescent="0.25">
      <c r="A21" s="318">
        <v>14</v>
      </c>
      <c r="B21" s="319" t="s">
        <v>1101</v>
      </c>
      <c r="C21" s="49">
        <v>0</v>
      </c>
    </row>
    <row r="22" spans="1:3" x14ac:dyDescent="0.25">
      <c r="A22" s="318">
        <v>15</v>
      </c>
      <c r="B22" s="319" t="s">
        <v>1102</v>
      </c>
      <c r="C22" s="49">
        <v>0</v>
      </c>
    </row>
    <row r="23" spans="1:3" x14ac:dyDescent="0.25">
      <c r="A23" s="318">
        <v>16</v>
      </c>
      <c r="B23" s="319" t="s">
        <v>1103</v>
      </c>
      <c r="C23" s="49">
        <v>0</v>
      </c>
    </row>
  </sheetData>
  <mergeCells count="5">
    <mergeCell ref="A3:B3"/>
    <mergeCell ref="A4:C4"/>
    <mergeCell ref="A9:C9"/>
    <mergeCell ref="A14:C14"/>
    <mergeCell ref="A19:C19"/>
  </mergeCells>
  <hyperlinks>
    <hyperlink ref="A1" location="Indhold!B88" display="Skema EU MR3 - IMA-værdier for handelsporteføljer" xr:uid="{5FAE9893-877C-460B-8149-96FE5374B1E4}"/>
  </hyperlinks>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8137-39EB-4EBB-9B09-8DF2059EE5FD}">
  <sheetPr>
    <pageSetUpPr fitToPage="1"/>
  </sheetPr>
  <dimension ref="B2:H19"/>
  <sheetViews>
    <sheetView showGridLines="0" zoomScaleNormal="100" zoomScalePageLayoutView="90" workbookViewId="0">
      <selection activeCell="B2" sqref="B2"/>
    </sheetView>
  </sheetViews>
  <sheetFormatPr defaultColWidth="9.140625" defaultRowHeight="15" x14ac:dyDescent="0.25"/>
  <cols>
    <col min="1" max="1" width="7.85546875" customWidth="1"/>
    <col min="2" max="2" width="8.5703125" style="41" customWidth="1"/>
    <col min="3" max="3" width="96.85546875" customWidth="1"/>
    <col min="4" max="4" width="14.7109375" customWidth="1"/>
    <col min="5" max="5" width="18.28515625" customWidth="1"/>
    <col min="6" max="6" width="22.42578125" customWidth="1"/>
    <col min="7" max="7" width="26.28515625" customWidth="1"/>
    <col min="8" max="8" width="20.140625" customWidth="1"/>
    <col min="9" max="9" width="25.42578125" customWidth="1"/>
  </cols>
  <sheetData>
    <row r="2" spans="2:8" s="57" customFormat="1" ht="18.75" x14ac:dyDescent="0.3">
      <c r="B2" s="422" t="s">
        <v>150</v>
      </c>
    </row>
    <row r="3" spans="2:8" x14ac:dyDescent="0.25">
      <c r="C3" s="41"/>
    </row>
    <row r="5" spans="2:8" x14ac:dyDescent="0.25">
      <c r="B5" s="922" t="s">
        <v>1431</v>
      </c>
      <c r="C5" s="923"/>
      <c r="D5" s="464" t="s">
        <v>105</v>
      </c>
      <c r="E5" s="464" t="s">
        <v>104</v>
      </c>
      <c r="F5" s="464" t="s">
        <v>99</v>
      </c>
      <c r="G5" s="464" t="s">
        <v>98</v>
      </c>
      <c r="H5" s="464" t="s">
        <v>97</v>
      </c>
    </row>
    <row r="6" spans="2:8" x14ac:dyDescent="0.25">
      <c r="B6" s="922"/>
      <c r="C6" s="923"/>
      <c r="D6" s="919" t="s">
        <v>0</v>
      </c>
      <c r="E6" s="921" t="s">
        <v>151</v>
      </c>
      <c r="F6" s="921"/>
      <c r="G6" s="921"/>
      <c r="H6" s="921"/>
    </row>
    <row r="7" spans="2:8" ht="30" x14ac:dyDescent="0.25">
      <c r="B7" s="924"/>
      <c r="C7" s="925"/>
      <c r="D7" s="920"/>
      <c r="E7" s="464" t="s">
        <v>152</v>
      </c>
      <c r="F7" s="464" t="s">
        <v>153</v>
      </c>
      <c r="G7" s="464" t="s">
        <v>154</v>
      </c>
      <c r="H7" s="464" t="s">
        <v>155</v>
      </c>
    </row>
    <row r="8" spans="2:8" x14ac:dyDescent="0.25">
      <c r="B8" s="59">
        <v>1</v>
      </c>
      <c r="C8" s="60" t="s">
        <v>156</v>
      </c>
      <c r="D8" s="496">
        <f>+'3'!D23</f>
        <v>8774914</v>
      </c>
      <c r="E8" s="496">
        <f>+'3'!F23</f>
        <v>5063957.3530000001</v>
      </c>
      <c r="F8" s="497">
        <v>0</v>
      </c>
      <c r="G8" s="496">
        <f>+'3'!G23</f>
        <v>0</v>
      </c>
      <c r="H8" s="496">
        <f>+'3'!I23</f>
        <v>2911499</v>
      </c>
    </row>
    <row r="9" spans="2:8" x14ac:dyDescent="0.25">
      <c r="B9" s="59">
        <v>2</v>
      </c>
      <c r="C9" s="60" t="s">
        <v>157</v>
      </c>
      <c r="D9" s="498">
        <v>0</v>
      </c>
      <c r="E9" s="498">
        <v>0</v>
      </c>
      <c r="F9" s="499">
        <v>0</v>
      </c>
      <c r="G9" s="498">
        <v>0</v>
      </c>
      <c r="H9" s="498">
        <v>0</v>
      </c>
    </row>
    <row r="10" spans="2:8" x14ac:dyDescent="0.25">
      <c r="B10" s="59">
        <v>3</v>
      </c>
      <c r="C10" s="60" t="s">
        <v>158</v>
      </c>
      <c r="D10" s="498">
        <f>+D8-D9</f>
        <v>8774914</v>
      </c>
      <c r="E10" s="498">
        <f t="shared" ref="E10:H10" si="0">+E8-E9</f>
        <v>5063957.3530000001</v>
      </c>
      <c r="F10" s="498">
        <f t="shared" si="0"/>
        <v>0</v>
      </c>
      <c r="G10" s="498">
        <f t="shared" si="0"/>
        <v>0</v>
      </c>
      <c r="H10" s="498">
        <f t="shared" si="0"/>
        <v>2911499</v>
      </c>
    </row>
    <row r="11" spans="2:8" x14ac:dyDescent="0.25">
      <c r="B11" s="59">
        <v>4</v>
      </c>
      <c r="C11" s="52" t="s">
        <v>159</v>
      </c>
      <c r="D11" s="498">
        <v>1350000</v>
      </c>
      <c r="E11" s="498">
        <f>+D11</f>
        <v>1350000</v>
      </c>
      <c r="F11" s="499"/>
      <c r="G11" s="498"/>
      <c r="H11" s="500"/>
    </row>
    <row r="12" spans="2:8" x14ac:dyDescent="0.25">
      <c r="B12" s="43">
        <v>5</v>
      </c>
      <c r="C12" s="63" t="s">
        <v>160</v>
      </c>
      <c r="D12" s="498"/>
      <c r="E12" s="498"/>
      <c r="F12" s="499"/>
      <c r="G12" s="498"/>
      <c r="H12" s="500"/>
    </row>
    <row r="13" spans="2:8" x14ac:dyDescent="0.25">
      <c r="B13" s="43">
        <v>6</v>
      </c>
      <c r="C13" s="63" t="s">
        <v>161</v>
      </c>
      <c r="D13" s="498"/>
      <c r="E13" s="498"/>
      <c r="F13" s="499"/>
      <c r="G13" s="498"/>
      <c r="H13" s="500"/>
    </row>
    <row r="14" spans="2:8" x14ac:dyDescent="0.25">
      <c r="B14" s="43">
        <v>7</v>
      </c>
      <c r="C14" s="63" t="s">
        <v>162</v>
      </c>
      <c r="D14" s="498"/>
      <c r="E14" s="498"/>
      <c r="F14" s="499"/>
      <c r="G14" s="498"/>
      <c r="H14" s="500"/>
    </row>
    <row r="15" spans="2:8" x14ac:dyDescent="0.25">
      <c r="B15" s="43">
        <v>8</v>
      </c>
      <c r="C15" s="63" t="s">
        <v>163</v>
      </c>
      <c r="D15" s="498"/>
      <c r="E15" s="498"/>
      <c r="F15" s="499"/>
      <c r="G15" s="498"/>
      <c r="H15" s="500"/>
    </row>
    <row r="16" spans="2:8" x14ac:dyDescent="0.25">
      <c r="B16" s="43">
        <v>9</v>
      </c>
      <c r="C16" s="63" t="s">
        <v>164</v>
      </c>
      <c r="D16" s="498"/>
      <c r="E16" s="498"/>
      <c r="F16" s="499"/>
      <c r="G16" s="498"/>
      <c r="H16" s="500"/>
    </row>
    <row r="17" spans="2:8" x14ac:dyDescent="0.25">
      <c r="B17" s="43">
        <v>10</v>
      </c>
      <c r="C17" s="63" t="s">
        <v>165</v>
      </c>
      <c r="D17" s="498"/>
      <c r="E17" s="498"/>
      <c r="F17" s="499"/>
      <c r="G17" s="498"/>
      <c r="H17" s="500"/>
    </row>
    <row r="18" spans="2:8" x14ac:dyDescent="0.25">
      <c r="B18" s="43">
        <v>11</v>
      </c>
      <c r="C18" s="63" t="s">
        <v>166</v>
      </c>
      <c r="D18" s="498"/>
      <c r="E18" s="498"/>
      <c r="F18" s="499"/>
      <c r="G18" s="498"/>
      <c r="H18" s="500"/>
    </row>
    <row r="19" spans="2:8" x14ac:dyDescent="0.25">
      <c r="B19" s="59">
        <v>12</v>
      </c>
      <c r="C19" s="52" t="s">
        <v>167</v>
      </c>
      <c r="D19" s="498">
        <f>SUM(D10:D18)</f>
        <v>10124914</v>
      </c>
      <c r="E19" s="498">
        <f t="shared" ref="E19:H19" si="1">SUM(E10:E18)</f>
        <v>6413957.3530000001</v>
      </c>
      <c r="F19" s="498">
        <f t="shared" si="1"/>
        <v>0</v>
      </c>
      <c r="G19" s="498">
        <f t="shared" si="1"/>
        <v>0</v>
      </c>
      <c r="H19" s="498">
        <f t="shared" si="1"/>
        <v>2911499</v>
      </c>
    </row>
  </sheetData>
  <mergeCells count="3">
    <mergeCell ref="D6:D7"/>
    <mergeCell ref="E6:H6"/>
    <mergeCell ref="B5:C7"/>
  </mergeCells>
  <hyperlinks>
    <hyperlink ref="B2" location="Indhold!B8" display="Skema EU LI2 – Primære kilder til forskelle mellem de tilsynsmæssige eksponeringsbeløb og regnskabsmæssige værdier " xr:uid="{E6C412A9-8D0F-4D7A-B11A-51DC2F19FC81}"/>
  </hyperlinks>
  <pageMargins left="0.70866141732283472" right="0.70866141732283472" top="0.74803149606299213" bottom="0.74803149606299213" header="0.31496062992125984" footer="0.31496062992125984"/>
  <pageSetup paperSize="9" scale="70" orientation="landscape" horizontalDpi="1200" verticalDpi="1200" r:id="rId1"/>
  <headerFooter>
    <oddHeader>&amp;CDA
Bilag V</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23D6-0578-41DA-83BF-33CC998166A9}">
  <sheetPr>
    <tabColor rgb="FFFF0000"/>
    <pageSetUpPr fitToPage="1"/>
  </sheetPr>
  <dimension ref="A1:P22"/>
  <sheetViews>
    <sheetView showGridLines="0" zoomScaleNormal="100" workbookViewId="0"/>
  </sheetViews>
  <sheetFormatPr defaultColWidth="11.42578125" defaultRowHeight="15" x14ac:dyDescent="0.25"/>
  <sheetData>
    <row r="1" spans="1:16" ht="18.75" x14ac:dyDescent="0.3">
      <c r="A1" s="878" t="s">
        <v>1107</v>
      </c>
      <c r="B1" s="422"/>
      <c r="C1" s="422"/>
      <c r="D1" s="422"/>
      <c r="E1" s="422"/>
      <c r="F1" s="422"/>
      <c r="G1" s="422"/>
      <c r="H1" s="422"/>
      <c r="I1" s="422"/>
      <c r="J1" s="422"/>
      <c r="K1" s="422"/>
      <c r="L1" s="422"/>
      <c r="M1" s="422"/>
      <c r="N1" s="422"/>
      <c r="O1" s="422"/>
      <c r="P1" s="422"/>
    </row>
    <row r="21" spans="1:8" ht="82.5" customHeight="1" x14ac:dyDescent="0.25">
      <c r="A21" s="1302" t="s">
        <v>1108</v>
      </c>
      <c r="B21" s="1302"/>
      <c r="C21" s="1302"/>
      <c r="D21" s="1302"/>
      <c r="E21" s="1302"/>
      <c r="F21" s="1302"/>
      <c r="G21" s="1302"/>
      <c r="H21" s="1302"/>
    </row>
    <row r="22" spans="1:8" ht="37.5" customHeight="1" x14ac:dyDescent="0.25">
      <c r="A22" s="1303" t="s">
        <v>1109</v>
      </c>
      <c r="B22" s="1303"/>
      <c r="C22" s="1303"/>
      <c r="D22" s="1303"/>
      <c r="E22" s="1303"/>
      <c r="F22" s="1303"/>
      <c r="G22" s="1303"/>
      <c r="H22" s="1303"/>
    </row>
  </sheetData>
  <mergeCells count="2">
    <mergeCell ref="A21:H21"/>
    <mergeCell ref="A22:H22"/>
  </mergeCells>
  <hyperlinks>
    <hyperlink ref="A1" location="Indhold!B89" display="Skema EU MR4 - Sammenligning af VaR-estimater med gevinster/tab" xr:uid="{2BBB5FE6-1655-4B1B-B69B-F9FABD14FF0D}"/>
  </hyperlinks>
  <pageMargins left="0.70866141732283472" right="0.70866141732283472" top="0.82677165354330717" bottom="0.74803149606299213" header="0.31496062992125984" footer="0.31496062992125984"/>
  <pageSetup paperSize="9" orientation="landscape" r:id="rId1"/>
  <headerFooter>
    <oddHeader>&amp;CDA
Bilag XXIX</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7FB14-C5ED-402B-8A3B-CF8655E641FE}">
  <sheetPr>
    <pageSetUpPr fitToPage="1"/>
  </sheetPr>
  <dimension ref="B2:I11"/>
  <sheetViews>
    <sheetView showGridLines="0" zoomScaleNormal="100" workbookViewId="0">
      <selection activeCell="B2" sqref="B2"/>
    </sheetView>
  </sheetViews>
  <sheetFormatPr defaultColWidth="9.140625" defaultRowHeight="15" x14ac:dyDescent="0.25"/>
  <cols>
    <col min="2" max="2" width="29.140625" customWidth="1"/>
    <col min="3" max="3" width="18.140625" customWidth="1"/>
    <col min="4" max="8" width="14.7109375" customWidth="1"/>
    <col min="9" max="9" width="26.42578125" customWidth="1"/>
  </cols>
  <sheetData>
    <row r="2" spans="2:9" s="57" customFormat="1" ht="18.75" x14ac:dyDescent="0.3">
      <c r="B2" s="422" t="s">
        <v>168</v>
      </c>
    </row>
    <row r="5" spans="2:9" x14ac:dyDescent="0.25">
      <c r="B5" s="470" t="s">
        <v>105</v>
      </c>
      <c r="C5" s="471" t="s">
        <v>104</v>
      </c>
      <c r="D5" s="470" t="s">
        <v>99</v>
      </c>
      <c r="E5" s="470" t="s">
        <v>98</v>
      </c>
      <c r="F5" s="470" t="s">
        <v>97</v>
      </c>
      <c r="G5" s="470" t="s">
        <v>113</v>
      </c>
      <c r="H5" s="470" t="s">
        <v>114</v>
      </c>
      <c r="I5" s="471" t="s">
        <v>169</v>
      </c>
    </row>
    <row r="6" spans="2:9" x14ac:dyDescent="0.25">
      <c r="B6" s="926" t="s">
        <v>170</v>
      </c>
      <c r="C6" s="927" t="s">
        <v>171</v>
      </c>
      <c r="D6" s="926" t="s">
        <v>172</v>
      </c>
      <c r="E6" s="926"/>
      <c r="F6" s="926"/>
      <c r="G6" s="926"/>
      <c r="H6" s="926"/>
      <c r="I6" s="472" t="s">
        <v>173</v>
      </c>
    </row>
    <row r="7" spans="2:9" ht="45" x14ac:dyDescent="0.25">
      <c r="B7" s="926"/>
      <c r="C7" s="927"/>
      <c r="D7" s="470" t="s">
        <v>174</v>
      </c>
      <c r="E7" s="470" t="s">
        <v>175</v>
      </c>
      <c r="F7" s="470" t="s">
        <v>176</v>
      </c>
      <c r="G7" s="470" t="s">
        <v>177</v>
      </c>
      <c r="H7" s="470" t="s">
        <v>178</v>
      </c>
      <c r="I7" s="473"/>
    </row>
    <row r="8" spans="2:9" ht="20.100000000000001" customHeight="1" x14ac:dyDescent="0.25">
      <c r="B8" s="467" t="s">
        <v>1244</v>
      </c>
      <c r="C8" s="467" t="s">
        <v>174</v>
      </c>
      <c r="D8" s="468" t="s">
        <v>179</v>
      </c>
      <c r="E8" s="469"/>
      <c r="F8" s="469"/>
      <c r="G8" s="469"/>
      <c r="H8" s="469"/>
      <c r="I8" s="467" t="s">
        <v>180</v>
      </c>
    </row>
    <row r="9" spans="2:9" ht="39.950000000000003" customHeight="1" x14ac:dyDescent="0.25">
      <c r="B9" s="421" t="s">
        <v>1245</v>
      </c>
      <c r="C9" s="65" t="s">
        <v>174</v>
      </c>
      <c r="D9" s="66" t="s">
        <v>179</v>
      </c>
      <c r="E9" s="66"/>
      <c r="F9" s="67"/>
      <c r="G9" s="67"/>
      <c r="H9" s="67"/>
      <c r="I9" s="65" t="s">
        <v>1248</v>
      </c>
    </row>
    <row r="10" spans="2:9" ht="39.950000000000003" customHeight="1" x14ac:dyDescent="0.25">
      <c r="B10" s="421" t="s">
        <v>1246</v>
      </c>
      <c r="C10" s="65" t="s">
        <v>174</v>
      </c>
      <c r="D10" s="66" t="s">
        <v>179</v>
      </c>
      <c r="E10" s="67"/>
      <c r="F10" s="67"/>
      <c r="G10" s="66"/>
      <c r="H10" s="66"/>
      <c r="I10" s="65" t="s">
        <v>1248</v>
      </c>
    </row>
    <row r="11" spans="2:9" ht="20.100000000000001" customHeight="1" x14ac:dyDescent="0.25">
      <c r="B11" s="65" t="s">
        <v>1247</v>
      </c>
      <c r="C11" s="65" t="s">
        <v>174</v>
      </c>
      <c r="D11" s="66" t="s">
        <v>179</v>
      </c>
      <c r="E11" s="67"/>
      <c r="F11" s="66"/>
      <c r="G11" s="67"/>
      <c r="H11" s="67"/>
      <c r="I11" s="65" t="s">
        <v>1249</v>
      </c>
    </row>
  </sheetData>
  <mergeCells count="3">
    <mergeCell ref="B6:B7"/>
    <mergeCell ref="C6:C7"/>
    <mergeCell ref="D6:H6"/>
  </mergeCells>
  <hyperlinks>
    <hyperlink ref="B2" location="Indhold!B9" display="Skema EU LI3 – Skitsering af forskellene i konsolideringens omfang (enhed for enhed) " xr:uid="{B62A4276-0191-4619-B686-F9120CE9071A}"/>
  </hyperlinks>
  <pageMargins left="0.70866141732283472" right="0.70866141732283472" top="0.74803149606299213" bottom="0.74803149606299213" header="0.31496062992125984" footer="0.31496062992125984"/>
  <pageSetup paperSize="9" scale="88" orientation="landscape" r:id="rId1"/>
  <headerFooter>
    <oddHeader>&amp;CDA
Bilag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B55B-DAF7-4473-B6D3-153968EE1B65}">
  <dimension ref="A2:I133"/>
  <sheetViews>
    <sheetView showGridLines="0" zoomScaleNormal="100" zoomScalePageLayoutView="130" workbookViewId="0">
      <selection activeCell="B2" sqref="B2"/>
    </sheetView>
  </sheetViews>
  <sheetFormatPr defaultColWidth="9" defaultRowHeight="15" x14ac:dyDescent="0.25"/>
  <cols>
    <col min="1" max="1" width="6.28515625" customWidth="1"/>
    <col min="3" max="3" width="57.7109375" customWidth="1"/>
    <col min="4" max="4" width="20.42578125" style="93" customWidth="1"/>
    <col min="5" max="5" width="57" customWidth="1"/>
  </cols>
  <sheetData>
    <row r="2" spans="2:9" ht="18.75" x14ac:dyDescent="0.3">
      <c r="B2" s="422" t="s">
        <v>200</v>
      </c>
      <c r="E2" s="93"/>
    </row>
    <row r="3" spans="2:9" ht="15" customHeight="1" x14ac:dyDescent="0.3">
      <c r="B3" s="92"/>
    </row>
    <row r="4" spans="2:9" ht="15" customHeight="1" x14ac:dyDescent="0.3">
      <c r="B4" s="92"/>
    </row>
    <row r="5" spans="2:9" x14ac:dyDescent="0.25">
      <c r="B5" s="810"/>
      <c r="C5" s="811"/>
      <c r="D5" s="474" t="s">
        <v>201</v>
      </c>
      <c r="E5" s="475" t="s">
        <v>202</v>
      </c>
    </row>
    <row r="6" spans="2:9" ht="30" x14ac:dyDescent="0.25">
      <c r="B6" s="810"/>
      <c r="C6" s="811"/>
      <c r="D6" s="474" t="s">
        <v>1431</v>
      </c>
      <c r="E6" s="475" t="s">
        <v>1453</v>
      </c>
    </row>
    <row r="7" spans="2:9" x14ac:dyDescent="0.25">
      <c r="B7" s="931" t="s">
        <v>203</v>
      </c>
      <c r="C7" s="932"/>
      <c r="D7" s="932"/>
      <c r="E7" s="933"/>
    </row>
    <row r="8" spans="2:9" ht="30" x14ac:dyDescent="0.25">
      <c r="B8" s="138">
        <v>1</v>
      </c>
      <c r="C8" s="150" t="s">
        <v>204</v>
      </c>
      <c r="D8" s="501">
        <v>75810</v>
      </c>
      <c r="E8" s="13" t="s">
        <v>1435</v>
      </c>
    </row>
    <row r="9" spans="2:9" x14ac:dyDescent="0.25">
      <c r="B9" s="138"/>
      <c r="C9" s="150" t="s">
        <v>205</v>
      </c>
      <c r="D9" s="501"/>
      <c r="E9" s="9"/>
    </row>
    <row r="10" spans="2:9" x14ac:dyDescent="0.25">
      <c r="B10" s="138"/>
      <c r="C10" s="150" t="s">
        <v>206</v>
      </c>
      <c r="D10" s="501"/>
      <c r="E10" s="9"/>
    </row>
    <row r="11" spans="2:9" x14ac:dyDescent="0.25">
      <c r="B11" s="138"/>
      <c r="C11" s="150" t="s">
        <v>207</v>
      </c>
      <c r="D11" s="501"/>
      <c r="E11" s="9"/>
    </row>
    <row r="12" spans="2:9" x14ac:dyDescent="0.25">
      <c r="B12" s="138">
        <v>2</v>
      </c>
      <c r="C12" s="150" t="s">
        <v>208</v>
      </c>
      <c r="D12" s="501">
        <f>1122409-20345+154</f>
        <v>1102218</v>
      </c>
      <c r="E12" s="13" t="s">
        <v>1436</v>
      </c>
    </row>
    <row r="13" spans="2:9" x14ac:dyDescent="0.25">
      <c r="B13" s="138">
        <v>3</v>
      </c>
      <c r="C13" s="150" t="s">
        <v>209</v>
      </c>
      <c r="D13" s="501">
        <v>7391</v>
      </c>
      <c r="E13" s="13" t="s">
        <v>1439</v>
      </c>
      <c r="I13" s="94"/>
    </row>
    <row r="14" spans="2:9" x14ac:dyDescent="0.25">
      <c r="B14" s="138" t="s">
        <v>210</v>
      </c>
      <c r="C14" s="150" t="s">
        <v>211</v>
      </c>
      <c r="D14" s="501">
        <v>0</v>
      </c>
      <c r="E14" s="9"/>
    </row>
    <row r="15" spans="2:9" ht="45" x14ac:dyDescent="0.25">
      <c r="B15" s="138">
        <v>4</v>
      </c>
      <c r="C15" s="150" t="s">
        <v>212</v>
      </c>
      <c r="D15" s="501">
        <v>0</v>
      </c>
      <c r="E15" s="9"/>
    </row>
    <row r="16" spans="2:9" ht="30" x14ac:dyDescent="0.25">
      <c r="B16" s="138">
        <v>5</v>
      </c>
      <c r="C16" s="150" t="s">
        <v>213</v>
      </c>
      <c r="D16" s="501">
        <v>0</v>
      </c>
      <c r="E16" s="9"/>
    </row>
    <row r="17" spans="2:6" ht="30" x14ac:dyDescent="0.25">
      <c r="B17" s="138" t="s">
        <v>214</v>
      </c>
      <c r="C17" s="150" t="s">
        <v>215</v>
      </c>
      <c r="D17" s="501">
        <v>20345</v>
      </c>
      <c r="E17" s="13" t="s">
        <v>1443</v>
      </c>
    </row>
    <row r="18" spans="2:6" x14ac:dyDescent="0.25">
      <c r="B18" s="347">
        <v>6</v>
      </c>
      <c r="C18" s="477" t="s">
        <v>216</v>
      </c>
      <c r="D18" s="502">
        <f>+D8+D12+D17+D13</f>
        <v>1205764</v>
      </c>
      <c r="E18" s="5"/>
      <c r="F18" s="359"/>
    </row>
    <row r="19" spans="2:6" x14ac:dyDescent="0.25">
      <c r="B19" s="928" t="s">
        <v>217</v>
      </c>
      <c r="C19" s="929"/>
      <c r="D19" s="929"/>
      <c r="E19" s="930"/>
    </row>
    <row r="20" spans="2:6" x14ac:dyDescent="0.25">
      <c r="B20" s="138">
        <v>7</v>
      </c>
      <c r="C20" s="25" t="s">
        <v>218</v>
      </c>
      <c r="D20" s="501">
        <f>-3290906/1000</f>
        <v>-3290.9059999999999</v>
      </c>
      <c r="E20" s="9"/>
    </row>
    <row r="21" spans="2:6" ht="30" x14ac:dyDescent="0.25">
      <c r="B21" s="138">
        <v>8</v>
      </c>
      <c r="C21" s="25" t="s">
        <v>219</v>
      </c>
      <c r="D21" s="501">
        <v>0</v>
      </c>
      <c r="E21" s="13"/>
    </row>
    <row r="22" spans="2:6" x14ac:dyDescent="0.25">
      <c r="B22" s="138">
        <v>9</v>
      </c>
      <c r="C22" s="25" t="s">
        <v>1</v>
      </c>
      <c r="D22" s="501">
        <v>0</v>
      </c>
      <c r="E22" s="9"/>
    </row>
    <row r="23" spans="2:6" ht="75" x14ac:dyDescent="0.25">
      <c r="B23" s="138">
        <v>10</v>
      </c>
      <c r="C23" s="25" t="s">
        <v>220</v>
      </c>
      <c r="D23" s="501">
        <v>0</v>
      </c>
      <c r="E23" s="9"/>
    </row>
    <row r="24" spans="2:6" ht="45" x14ac:dyDescent="0.25">
      <c r="B24" s="138">
        <v>11</v>
      </c>
      <c r="C24" s="25" t="s">
        <v>221</v>
      </c>
      <c r="D24" s="501">
        <v>0</v>
      </c>
      <c r="E24" s="9"/>
    </row>
    <row r="25" spans="2:6" ht="30" x14ac:dyDescent="0.25">
      <c r="B25" s="138">
        <v>12</v>
      </c>
      <c r="C25" s="25" t="s">
        <v>222</v>
      </c>
      <c r="D25" s="501">
        <v>0</v>
      </c>
      <c r="E25" s="9"/>
    </row>
    <row r="26" spans="2:6" ht="30" x14ac:dyDescent="0.25">
      <c r="B26" s="138">
        <v>13</v>
      </c>
      <c r="C26" s="25" t="s">
        <v>223</v>
      </c>
      <c r="D26" s="501">
        <v>0</v>
      </c>
      <c r="E26" s="9"/>
    </row>
    <row r="27" spans="2:6" ht="30" x14ac:dyDescent="0.25">
      <c r="B27" s="138">
        <v>14</v>
      </c>
      <c r="C27" s="25" t="s">
        <v>224</v>
      </c>
      <c r="D27" s="501">
        <v>0</v>
      </c>
      <c r="E27" s="9"/>
    </row>
    <row r="28" spans="2:6" x14ac:dyDescent="0.25">
      <c r="B28" s="138">
        <v>15</v>
      </c>
      <c r="C28" s="25" t="s">
        <v>225</v>
      </c>
      <c r="D28" s="501">
        <v>0</v>
      </c>
      <c r="E28" s="9"/>
    </row>
    <row r="29" spans="2:6" ht="30" x14ac:dyDescent="0.25">
      <c r="B29" s="138">
        <v>16</v>
      </c>
      <c r="C29" s="25" t="s">
        <v>226</v>
      </c>
      <c r="D29" s="501">
        <f>(-153530-2234548)/1000</f>
        <v>-2388.078</v>
      </c>
      <c r="E29" s="9"/>
    </row>
    <row r="30" spans="2:6" ht="75" x14ac:dyDescent="0.25">
      <c r="B30" s="138">
        <v>17</v>
      </c>
      <c r="C30" s="25" t="s">
        <v>227</v>
      </c>
      <c r="D30" s="501">
        <v>0</v>
      </c>
      <c r="E30" s="9"/>
    </row>
    <row r="31" spans="2:6" ht="75" x14ac:dyDescent="0.25">
      <c r="B31" s="138">
        <v>18</v>
      </c>
      <c r="C31" s="25" t="s">
        <v>228</v>
      </c>
      <c r="D31" s="501">
        <f>-139860647/1000</f>
        <v>-139860.647</v>
      </c>
      <c r="E31" s="9"/>
    </row>
    <row r="32" spans="2:6" ht="75" x14ac:dyDescent="0.25">
      <c r="B32" s="138">
        <v>19</v>
      </c>
      <c r="C32" s="25" t="s">
        <v>229</v>
      </c>
      <c r="D32" s="501">
        <v>0</v>
      </c>
      <c r="E32" s="9"/>
    </row>
    <row r="33" spans="2:6" x14ac:dyDescent="0.25">
      <c r="B33" s="138">
        <v>20</v>
      </c>
      <c r="C33" s="25" t="s">
        <v>1</v>
      </c>
      <c r="D33" s="501"/>
      <c r="E33" s="9"/>
    </row>
    <row r="34" spans="2:6" ht="45" x14ac:dyDescent="0.25">
      <c r="B34" s="138" t="s">
        <v>230</v>
      </c>
      <c r="C34" s="25" t="s">
        <v>231</v>
      </c>
      <c r="D34" s="501">
        <v>0</v>
      </c>
      <c r="E34" s="9"/>
    </row>
    <row r="35" spans="2:6" ht="30" x14ac:dyDescent="0.25">
      <c r="B35" s="138" t="s">
        <v>232</v>
      </c>
      <c r="C35" s="25" t="s">
        <v>233</v>
      </c>
      <c r="D35" s="501">
        <v>0</v>
      </c>
      <c r="E35" s="9"/>
    </row>
    <row r="36" spans="2:6" x14ac:dyDescent="0.25">
      <c r="B36" s="138" t="s">
        <v>234</v>
      </c>
      <c r="C36" s="9" t="s">
        <v>235</v>
      </c>
      <c r="D36" s="501">
        <v>0</v>
      </c>
      <c r="E36" s="9"/>
    </row>
    <row r="37" spans="2:6" x14ac:dyDescent="0.25">
      <c r="B37" s="138" t="s">
        <v>236</v>
      </c>
      <c r="C37" s="25" t="s">
        <v>237</v>
      </c>
      <c r="D37" s="501">
        <v>0</v>
      </c>
      <c r="E37" s="9"/>
    </row>
    <row r="38" spans="2:6" ht="60" x14ac:dyDescent="0.25">
      <c r="B38" s="138">
        <v>21</v>
      </c>
      <c r="C38" s="25" t="s">
        <v>1454</v>
      </c>
      <c r="D38" s="501">
        <v>0</v>
      </c>
      <c r="E38" s="9"/>
    </row>
    <row r="39" spans="2:6" x14ac:dyDescent="0.25">
      <c r="B39" s="138">
        <v>22</v>
      </c>
      <c r="C39" s="25" t="s">
        <v>238</v>
      </c>
      <c r="D39" s="501">
        <v>0</v>
      </c>
      <c r="E39" s="9"/>
    </row>
    <row r="40" spans="2:6" ht="60" x14ac:dyDescent="0.25">
      <c r="B40" s="138">
        <v>23</v>
      </c>
      <c r="C40" s="25" t="s">
        <v>239</v>
      </c>
      <c r="D40" s="501">
        <v>0</v>
      </c>
      <c r="E40" s="9"/>
    </row>
    <row r="41" spans="2:6" x14ac:dyDescent="0.25">
      <c r="B41" s="138">
        <v>24</v>
      </c>
      <c r="C41" s="25" t="s">
        <v>1</v>
      </c>
      <c r="D41" s="501"/>
      <c r="E41" s="9"/>
    </row>
    <row r="42" spans="2:6" ht="30" x14ac:dyDescent="0.25">
      <c r="B42" s="138">
        <v>25</v>
      </c>
      <c r="C42" s="25" t="s">
        <v>240</v>
      </c>
      <c r="D42" s="501">
        <v>0</v>
      </c>
      <c r="E42" s="9"/>
    </row>
    <row r="43" spans="2:6" x14ac:dyDescent="0.25">
      <c r="B43" s="138" t="s">
        <v>241</v>
      </c>
      <c r="C43" s="25" t="s">
        <v>242</v>
      </c>
      <c r="D43" s="501">
        <v>0</v>
      </c>
      <c r="E43" s="9"/>
    </row>
    <row r="44" spans="2:6" ht="75" x14ac:dyDescent="0.25">
      <c r="B44" s="138" t="s">
        <v>243</v>
      </c>
      <c r="C44" s="25" t="s">
        <v>244</v>
      </c>
      <c r="D44" s="501">
        <v>0</v>
      </c>
      <c r="E44" s="9"/>
    </row>
    <row r="45" spans="2:6" x14ac:dyDescent="0.25">
      <c r="B45" s="138">
        <v>26</v>
      </c>
      <c r="C45" s="25" t="s">
        <v>1</v>
      </c>
      <c r="D45" s="501"/>
      <c r="E45" s="9"/>
    </row>
    <row r="46" spans="2:6" ht="30" x14ac:dyDescent="0.25">
      <c r="B46" s="138">
        <v>27</v>
      </c>
      <c r="C46" s="25" t="s">
        <v>1455</v>
      </c>
      <c r="D46" s="501">
        <v>0</v>
      </c>
      <c r="E46" s="9"/>
      <c r="F46" s="95"/>
    </row>
    <row r="47" spans="2:6" x14ac:dyDescent="0.25">
      <c r="B47" s="138" t="s">
        <v>245</v>
      </c>
      <c r="C47" s="25" t="s">
        <v>1456</v>
      </c>
      <c r="D47" s="501">
        <f>-3148435/1000</f>
        <v>-3148.4349999999999</v>
      </c>
      <c r="E47" s="9"/>
      <c r="F47" s="95"/>
    </row>
    <row r="48" spans="2:6" x14ac:dyDescent="0.25">
      <c r="B48" s="138">
        <v>28</v>
      </c>
      <c r="C48" s="479" t="s">
        <v>246</v>
      </c>
      <c r="D48" s="501">
        <f>SUM(D20:D34)+D38+D39+D43+D47</f>
        <v>-148688.06599999999</v>
      </c>
      <c r="E48" s="9"/>
    </row>
    <row r="49" spans="2:5" x14ac:dyDescent="0.25">
      <c r="B49" s="138">
        <v>29</v>
      </c>
      <c r="C49" s="479" t="s">
        <v>247</v>
      </c>
      <c r="D49" s="502">
        <f>+D18+D48</f>
        <v>1057075.9339999999</v>
      </c>
      <c r="E49" s="9"/>
    </row>
    <row r="50" spans="2:5" x14ac:dyDescent="0.25">
      <c r="B50" s="928" t="s">
        <v>248</v>
      </c>
      <c r="C50" s="929"/>
      <c r="D50" s="929"/>
      <c r="E50" s="930"/>
    </row>
    <row r="51" spans="2:5" ht="30" x14ac:dyDescent="0.25">
      <c r="B51" s="138">
        <v>30</v>
      </c>
      <c r="C51" s="25" t="s">
        <v>249</v>
      </c>
      <c r="D51" s="501">
        <v>0</v>
      </c>
      <c r="E51" s="13"/>
    </row>
    <row r="52" spans="2:5" ht="30" x14ac:dyDescent="0.25">
      <c r="B52" s="138">
        <v>31</v>
      </c>
      <c r="C52" s="25" t="s">
        <v>250</v>
      </c>
      <c r="D52" s="501">
        <v>0</v>
      </c>
      <c r="E52" s="9"/>
    </row>
    <row r="53" spans="2:5" ht="30" x14ac:dyDescent="0.25">
      <c r="B53" s="138">
        <v>32</v>
      </c>
      <c r="C53" s="25" t="s">
        <v>251</v>
      </c>
      <c r="D53" s="501">
        <v>0</v>
      </c>
      <c r="E53" s="9"/>
    </row>
    <row r="54" spans="2:5" ht="45" x14ac:dyDescent="0.25">
      <c r="B54" s="138">
        <v>33</v>
      </c>
      <c r="C54" s="25" t="s">
        <v>252</v>
      </c>
      <c r="D54" s="501">
        <v>0</v>
      </c>
      <c r="E54" s="9"/>
    </row>
    <row r="55" spans="2:5" s="26" customFormat="1" ht="30" x14ac:dyDescent="0.25">
      <c r="B55" s="138" t="s">
        <v>253</v>
      </c>
      <c r="C55" s="25" t="s">
        <v>254</v>
      </c>
      <c r="D55" s="501">
        <v>0</v>
      </c>
      <c r="E55" s="9"/>
    </row>
    <row r="56" spans="2:5" s="26" customFormat="1" ht="30" x14ac:dyDescent="0.25">
      <c r="B56" s="138" t="s">
        <v>255</v>
      </c>
      <c r="C56" s="25" t="s">
        <v>256</v>
      </c>
      <c r="D56" s="501">
        <v>0</v>
      </c>
      <c r="E56" s="9"/>
    </row>
    <row r="57" spans="2:5" ht="60" x14ac:dyDescent="0.25">
      <c r="B57" s="138">
        <v>34</v>
      </c>
      <c r="C57" s="25" t="s">
        <v>257</v>
      </c>
      <c r="D57" s="501">
        <v>0</v>
      </c>
      <c r="E57" s="9"/>
    </row>
    <row r="58" spans="2:5" ht="30" x14ac:dyDescent="0.25">
      <c r="B58" s="138">
        <v>35</v>
      </c>
      <c r="C58" s="25" t="s">
        <v>258</v>
      </c>
      <c r="D58" s="501">
        <v>0</v>
      </c>
      <c r="E58" s="9"/>
    </row>
    <row r="59" spans="2:5" x14ac:dyDescent="0.25">
      <c r="B59" s="347">
        <v>36</v>
      </c>
      <c r="C59" s="479" t="s">
        <v>259</v>
      </c>
      <c r="D59" s="502">
        <v>0</v>
      </c>
      <c r="E59" s="9"/>
    </row>
    <row r="60" spans="2:5" x14ac:dyDescent="0.25">
      <c r="B60" s="928" t="s">
        <v>260</v>
      </c>
      <c r="C60" s="929"/>
      <c r="D60" s="929"/>
      <c r="E60" s="930"/>
    </row>
    <row r="61" spans="2:5" ht="30" x14ac:dyDescent="0.25">
      <c r="B61" s="138">
        <v>37</v>
      </c>
      <c r="C61" s="25" t="s">
        <v>261</v>
      </c>
      <c r="D61" s="476">
        <v>0</v>
      </c>
      <c r="E61" s="9"/>
    </row>
    <row r="62" spans="2:5" ht="75" x14ac:dyDescent="0.25">
      <c r="B62" s="138">
        <v>38</v>
      </c>
      <c r="C62" s="25" t="s">
        <v>262</v>
      </c>
      <c r="D62" s="476">
        <v>0</v>
      </c>
      <c r="E62" s="9"/>
    </row>
    <row r="63" spans="2:5" ht="75" x14ac:dyDescent="0.25">
      <c r="B63" s="138">
        <v>39</v>
      </c>
      <c r="C63" s="25" t="s">
        <v>263</v>
      </c>
      <c r="D63" s="476">
        <v>0</v>
      </c>
      <c r="E63" s="9"/>
    </row>
    <row r="64" spans="2:5" ht="75" x14ac:dyDescent="0.25">
      <c r="B64" s="138">
        <v>40</v>
      </c>
      <c r="C64" s="25" t="s">
        <v>264</v>
      </c>
      <c r="D64" s="476">
        <v>0</v>
      </c>
      <c r="E64" s="9"/>
    </row>
    <row r="65" spans="1:5" x14ac:dyDescent="0.25">
      <c r="B65" s="138">
        <v>41</v>
      </c>
      <c r="C65" s="25" t="s">
        <v>1</v>
      </c>
      <c r="D65" s="476">
        <v>0</v>
      </c>
      <c r="E65" s="9"/>
    </row>
    <row r="66" spans="1:5" ht="30" x14ac:dyDescent="0.25">
      <c r="B66" s="138">
        <v>42</v>
      </c>
      <c r="C66" s="25" t="s">
        <v>1457</v>
      </c>
      <c r="D66" s="476">
        <v>0</v>
      </c>
      <c r="E66" s="9"/>
    </row>
    <row r="67" spans="1:5" x14ac:dyDescent="0.25">
      <c r="B67" s="138" t="s">
        <v>265</v>
      </c>
      <c r="C67" s="25" t="s">
        <v>266</v>
      </c>
      <c r="D67" s="476">
        <v>0</v>
      </c>
      <c r="E67" s="9"/>
    </row>
    <row r="68" spans="1:5" x14ac:dyDescent="0.25">
      <c r="B68" s="347">
        <v>43</v>
      </c>
      <c r="C68" s="479" t="s">
        <v>267</v>
      </c>
      <c r="D68" s="478">
        <v>0</v>
      </c>
      <c r="E68" s="9"/>
    </row>
    <row r="69" spans="1:5" x14ac:dyDescent="0.25">
      <c r="B69" s="347">
        <v>44</v>
      </c>
      <c r="C69" s="479" t="s">
        <v>268</v>
      </c>
      <c r="D69" s="478">
        <v>0</v>
      </c>
      <c r="E69" s="9"/>
    </row>
    <row r="70" spans="1:5" ht="30" x14ac:dyDescent="0.25">
      <c r="B70" s="347">
        <v>45</v>
      </c>
      <c r="C70" s="479" t="s">
        <v>269</v>
      </c>
      <c r="D70" s="478">
        <f>+D49</f>
        <v>1057075.9339999999</v>
      </c>
      <c r="E70" s="9"/>
    </row>
    <row r="71" spans="1:5" x14ac:dyDescent="0.25">
      <c r="B71" s="928" t="s">
        <v>270</v>
      </c>
      <c r="C71" s="929"/>
      <c r="D71" s="929"/>
      <c r="E71" s="930"/>
    </row>
    <row r="72" spans="1:5" ht="30" x14ac:dyDescent="0.25">
      <c r="B72" s="138">
        <v>46</v>
      </c>
      <c r="C72" s="25" t="s">
        <v>249</v>
      </c>
      <c r="D72" s="501">
        <v>0</v>
      </c>
      <c r="E72" s="9"/>
    </row>
    <row r="73" spans="1:5" ht="45" x14ac:dyDescent="0.25">
      <c r="B73" s="138">
        <v>47</v>
      </c>
      <c r="C73" s="25" t="s">
        <v>271</v>
      </c>
      <c r="D73" s="501">
        <v>0</v>
      </c>
      <c r="E73" s="9"/>
    </row>
    <row r="74" spans="1:5" s="26" customFormat="1" ht="30" x14ac:dyDescent="0.25">
      <c r="A74" s="1"/>
      <c r="B74" s="138" t="s">
        <v>272</v>
      </c>
      <c r="C74" s="25" t="s">
        <v>273</v>
      </c>
      <c r="D74" s="501">
        <v>0</v>
      </c>
      <c r="E74" s="9"/>
    </row>
    <row r="75" spans="1:5" s="26" customFormat="1" ht="30" x14ac:dyDescent="0.25">
      <c r="A75" s="1"/>
      <c r="B75" s="138" t="s">
        <v>274</v>
      </c>
      <c r="C75" s="25" t="s">
        <v>275</v>
      </c>
      <c r="D75" s="501">
        <v>0</v>
      </c>
      <c r="E75" s="9"/>
    </row>
    <row r="76" spans="1:5" ht="75" x14ac:dyDescent="0.25">
      <c r="B76" s="138">
        <v>48</v>
      </c>
      <c r="C76" s="25" t="s">
        <v>276</v>
      </c>
      <c r="D76" s="501">
        <v>0</v>
      </c>
      <c r="E76" s="9"/>
    </row>
    <row r="77" spans="1:5" ht="30" x14ac:dyDescent="0.25">
      <c r="B77" s="138">
        <v>49</v>
      </c>
      <c r="C77" s="25" t="s">
        <v>277</v>
      </c>
      <c r="D77" s="501">
        <v>0</v>
      </c>
      <c r="E77" s="9"/>
    </row>
    <row r="78" spans="1:5" x14ac:dyDescent="0.25">
      <c r="B78" s="138">
        <v>50</v>
      </c>
      <c r="C78" s="25" t="s">
        <v>278</v>
      </c>
      <c r="D78" s="501">
        <v>0</v>
      </c>
      <c r="E78" s="9"/>
    </row>
    <row r="79" spans="1:5" x14ac:dyDescent="0.25">
      <c r="B79" s="347">
        <v>51</v>
      </c>
      <c r="C79" s="479" t="s">
        <v>279</v>
      </c>
      <c r="D79" s="502">
        <v>0</v>
      </c>
      <c r="E79" s="5"/>
    </row>
    <row r="80" spans="1:5" x14ac:dyDescent="0.25">
      <c r="B80" s="928" t="s">
        <v>280</v>
      </c>
      <c r="C80" s="929"/>
      <c r="D80" s="929"/>
      <c r="E80" s="930"/>
    </row>
    <row r="81" spans="2:5" ht="45" x14ac:dyDescent="0.25">
      <c r="B81" s="138">
        <v>52</v>
      </c>
      <c r="C81" s="25" t="s">
        <v>281</v>
      </c>
      <c r="D81" s="501">
        <v>0</v>
      </c>
      <c r="E81" s="9"/>
    </row>
    <row r="82" spans="2:5" ht="75" x14ac:dyDescent="0.25">
      <c r="B82" s="138">
        <v>53</v>
      </c>
      <c r="C82" s="25" t="s">
        <v>282</v>
      </c>
      <c r="D82" s="501">
        <v>0</v>
      </c>
      <c r="E82" s="9"/>
    </row>
    <row r="83" spans="2:5" ht="75" x14ac:dyDescent="0.25">
      <c r="B83" s="138">
        <v>54</v>
      </c>
      <c r="C83" s="25" t="s">
        <v>283</v>
      </c>
      <c r="D83" s="501">
        <v>0</v>
      </c>
      <c r="E83" s="9"/>
    </row>
    <row r="84" spans="2:5" x14ac:dyDescent="0.25">
      <c r="B84" s="138" t="s">
        <v>284</v>
      </c>
      <c r="C84" s="25" t="s">
        <v>1</v>
      </c>
      <c r="D84" s="501">
        <v>0</v>
      </c>
      <c r="E84" s="9"/>
    </row>
    <row r="85" spans="2:5" ht="75" x14ac:dyDescent="0.25">
      <c r="B85" s="138">
        <v>55</v>
      </c>
      <c r="C85" s="25" t="s">
        <v>285</v>
      </c>
      <c r="D85" s="501">
        <v>0</v>
      </c>
      <c r="E85" s="9"/>
    </row>
    <row r="86" spans="2:5" x14ac:dyDescent="0.25">
      <c r="B86" s="138">
        <v>56</v>
      </c>
      <c r="C86" s="25" t="s">
        <v>1</v>
      </c>
      <c r="D86" s="501">
        <v>0</v>
      </c>
      <c r="E86" s="9"/>
    </row>
    <row r="87" spans="2:5" ht="45" x14ac:dyDescent="0.25">
      <c r="B87" s="138" t="s">
        <v>1458</v>
      </c>
      <c r="C87" s="9" t="s">
        <v>286</v>
      </c>
      <c r="D87" s="502">
        <v>0</v>
      </c>
      <c r="E87" s="9"/>
    </row>
    <row r="88" spans="2:5" x14ac:dyDescent="0.25">
      <c r="B88" s="138" t="s">
        <v>287</v>
      </c>
      <c r="C88" s="9" t="s">
        <v>288</v>
      </c>
      <c r="D88" s="502">
        <v>0</v>
      </c>
      <c r="E88" s="9"/>
    </row>
    <row r="89" spans="2:5" x14ac:dyDescent="0.25">
      <c r="B89" s="347">
        <v>57</v>
      </c>
      <c r="C89" s="5" t="s">
        <v>289</v>
      </c>
      <c r="D89" s="502">
        <v>0</v>
      </c>
      <c r="E89" s="9"/>
    </row>
    <row r="90" spans="2:5" x14ac:dyDescent="0.25">
      <c r="B90" s="347">
        <v>58</v>
      </c>
      <c r="C90" s="5" t="s">
        <v>290</v>
      </c>
      <c r="D90" s="502">
        <v>0</v>
      </c>
      <c r="E90" s="9"/>
    </row>
    <row r="91" spans="2:5" ht="30" x14ac:dyDescent="0.25">
      <c r="B91" s="347">
        <v>59</v>
      </c>
      <c r="C91" s="5" t="s">
        <v>291</v>
      </c>
      <c r="D91" s="502">
        <f>+D70</f>
        <v>1057075.9339999999</v>
      </c>
      <c r="E91" s="9"/>
    </row>
    <row r="92" spans="2:5" x14ac:dyDescent="0.25">
      <c r="B92" s="347">
        <v>60</v>
      </c>
      <c r="C92" s="5" t="s">
        <v>89</v>
      </c>
      <c r="D92" s="502">
        <f>4101602602/1000</f>
        <v>4101602.602</v>
      </c>
      <c r="E92" s="5"/>
    </row>
    <row r="93" spans="2:5" x14ac:dyDescent="0.25">
      <c r="B93" s="928" t="s">
        <v>292</v>
      </c>
      <c r="C93" s="929"/>
      <c r="D93" s="929"/>
      <c r="E93" s="930"/>
    </row>
    <row r="94" spans="2:5" x14ac:dyDescent="0.25">
      <c r="B94" s="138">
        <v>61</v>
      </c>
      <c r="C94" s="25" t="s">
        <v>293</v>
      </c>
      <c r="D94" s="503">
        <f>+D91/D92</f>
        <v>0.25772266028029012</v>
      </c>
      <c r="E94" s="9"/>
    </row>
    <row r="95" spans="2:5" x14ac:dyDescent="0.25">
      <c r="B95" s="138">
        <v>62</v>
      </c>
      <c r="C95" s="25" t="s">
        <v>294</v>
      </c>
      <c r="D95" s="503">
        <f>+D94</f>
        <v>0.25772266028029012</v>
      </c>
      <c r="E95" s="9"/>
    </row>
    <row r="96" spans="2:5" x14ac:dyDescent="0.25">
      <c r="B96" s="138">
        <v>63</v>
      </c>
      <c r="C96" s="25" t="s">
        <v>295</v>
      </c>
      <c r="D96" s="503">
        <f>+D95</f>
        <v>0.25772266028029012</v>
      </c>
      <c r="E96" s="9"/>
    </row>
    <row r="97" spans="2:5" ht="14.65" customHeight="1" x14ac:dyDescent="0.25">
      <c r="B97" s="138">
        <v>64</v>
      </c>
      <c r="C97" s="25" t="s">
        <v>296</v>
      </c>
      <c r="D97" s="503">
        <v>0.10009999999999999</v>
      </c>
      <c r="E97" s="9"/>
    </row>
    <row r="98" spans="2:5" ht="17.649999999999999" customHeight="1" x14ac:dyDescent="0.25">
      <c r="B98" s="138">
        <v>65</v>
      </c>
      <c r="C98" s="9" t="s">
        <v>297</v>
      </c>
      <c r="D98" s="503">
        <f>102540064/D92/1000</f>
        <v>2.4999999744002504E-2</v>
      </c>
      <c r="E98" s="9"/>
    </row>
    <row r="99" spans="2:5" x14ac:dyDescent="0.25">
      <c r="B99" s="138">
        <v>66</v>
      </c>
      <c r="C99" s="9" t="s">
        <v>298</v>
      </c>
      <c r="D99" s="503">
        <f>82032051/D92/1000</f>
        <v>1.9999999746440577E-2</v>
      </c>
      <c r="E99" s="9"/>
    </row>
    <row r="100" spans="2:5" x14ac:dyDescent="0.25">
      <c r="B100" s="138">
        <v>67</v>
      </c>
      <c r="C100" s="9" t="s">
        <v>299</v>
      </c>
      <c r="D100" s="501">
        <v>0</v>
      </c>
      <c r="E100" s="9"/>
    </row>
    <row r="101" spans="2:5" x14ac:dyDescent="0.25">
      <c r="B101" s="138" t="s">
        <v>300</v>
      </c>
      <c r="C101" s="25" t="s">
        <v>301</v>
      </c>
      <c r="D101" s="501">
        <v>0</v>
      </c>
      <c r="E101" s="9"/>
    </row>
    <row r="102" spans="2:5" ht="30" x14ac:dyDescent="0.25">
      <c r="B102" s="138" t="s">
        <v>302</v>
      </c>
      <c r="C102" s="25" t="s">
        <v>303</v>
      </c>
      <c r="D102" s="503">
        <f>5.51%-4.5%</f>
        <v>1.0099999999999998E-2</v>
      </c>
      <c r="E102" s="9"/>
    </row>
    <row r="103" spans="2:5" ht="45" x14ac:dyDescent="0.25">
      <c r="B103" s="138">
        <v>68</v>
      </c>
      <c r="C103" s="479" t="s">
        <v>304</v>
      </c>
      <c r="D103" s="503">
        <f>+D96-('2'!D21/100)</f>
        <v>0.15972266028029011</v>
      </c>
      <c r="E103" s="9"/>
    </row>
    <row r="104" spans="2:5" x14ac:dyDescent="0.25">
      <c r="B104" s="928" t="s">
        <v>305</v>
      </c>
      <c r="C104" s="929"/>
      <c r="D104" s="929"/>
      <c r="E104" s="930"/>
    </row>
    <row r="105" spans="2:5" x14ac:dyDescent="0.25">
      <c r="B105" s="138">
        <v>69</v>
      </c>
      <c r="C105" s="11" t="s">
        <v>1459</v>
      </c>
      <c r="D105" s="476"/>
      <c r="E105" s="9"/>
    </row>
    <row r="106" spans="2:5" x14ac:dyDescent="0.25">
      <c r="B106" s="138">
        <v>70</v>
      </c>
      <c r="C106" s="11" t="s">
        <v>1459</v>
      </c>
      <c r="D106" s="476"/>
      <c r="E106" s="9"/>
    </row>
    <row r="107" spans="2:5" x14ac:dyDescent="0.25">
      <c r="B107" s="138">
        <v>71</v>
      </c>
      <c r="C107" s="11" t="s">
        <v>1459</v>
      </c>
      <c r="D107" s="476"/>
      <c r="E107" s="9"/>
    </row>
    <row r="108" spans="2:5" x14ac:dyDescent="0.25">
      <c r="B108" s="928" t="s">
        <v>306</v>
      </c>
      <c r="C108" s="929"/>
      <c r="D108" s="929"/>
      <c r="E108" s="930"/>
    </row>
    <row r="109" spans="2:5" x14ac:dyDescent="0.25">
      <c r="B109" s="937">
        <v>72</v>
      </c>
      <c r="C109" s="940" t="s">
        <v>1460</v>
      </c>
      <c r="D109" s="943">
        <f>(259554277-139860647)/1000</f>
        <v>119693.63</v>
      </c>
      <c r="E109" s="946"/>
    </row>
    <row r="110" spans="2:5" ht="11.1" customHeight="1" x14ac:dyDescent="0.25">
      <c r="B110" s="938"/>
      <c r="C110" s="941"/>
      <c r="D110" s="944"/>
      <c r="E110" s="947"/>
    </row>
    <row r="111" spans="2:5" ht="11.1" customHeight="1" x14ac:dyDescent="0.25">
      <c r="B111" s="938"/>
      <c r="C111" s="941"/>
      <c r="D111" s="944"/>
      <c r="E111" s="947"/>
    </row>
    <row r="112" spans="2:5" x14ac:dyDescent="0.25">
      <c r="B112" s="939"/>
      <c r="C112" s="942"/>
      <c r="D112" s="945"/>
      <c r="E112" s="948"/>
    </row>
    <row r="113" spans="2:5" ht="75" x14ac:dyDescent="0.25">
      <c r="B113" s="138">
        <v>73</v>
      </c>
      <c r="C113" s="25" t="s">
        <v>307</v>
      </c>
      <c r="D113" s="501">
        <f>5021025/1000</f>
        <v>5021.0249999999996</v>
      </c>
      <c r="E113" s="9"/>
    </row>
    <row r="114" spans="2:5" x14ac:dyDescent="0.25">
      <c r="B114" s="138">
        <v>74</v>
      </c>
      <c r="C114" s="25" t="s">
        <v>1</v>
      </c>
      <c r="D114" s="501"/>
      <c r="E114" s="9"/>
    </row>
    <row r="115" spans="2:5" ht="60" x14ac:dyDescent="0.25">
      <c r="B115" s="138">
        <v>75</v>
      </c>
      <c r="C115" s="25" t="s">
        <v>1461</v>
      </c>
      <c r="D115" s="501">
        <v>0</v>
      </c>
      <c r="E115" s="9"/>
    </row>
    <row r="116" spans="2:5" x14ac:dyDescent="0.25">
      <c r="B116" s="928" t="s">
        <v>308</v>
      </c>
      <c r="C116" s="929"/>
      <c r="D116" s="929"/>
      <c r="E116" s="930"/>
    </row>
    <row r="117" spans="2:5" ht="45" x14ac:dyDescent="0.25">
      <c r="B117" s="138">
        <v>76</v>
      </c>
      <c r="C117" s="25" t="s">
        <v>309</v>
      </c>
      <c r="D117" s="501">
        <f>209084188/1000</f>
        <v>209084.18799999999</v>
      </c>
      <c r="E117" s="9"/>
    </row>
    <row r="118" spans="2:5" ht="30" x14ac:dyDescent="0.25">
      <c r="B118" s="138">
        <v>77</v>
      </c>
      <c r="C118" s="25" t="s">
        <v>310</v>
      </c>
      <c r="D118" s="501">
        <v>0</v>
      </c>
      <c r="E118" s="9"/>
    </row>
    <row r="119" spans="2:5" ht="45" x14ac:dyDescent="0.25">
      <c r="B119" s="138">
        <v>78</v>
      </c>
      <c r="C119" s="25" t="s">
        <v>311</v>
      </c>
      <c r="D119" s="501">
        <v>0</v>
      </c>
      <c r="E119" s="9"/>
    </row>
    <row r="120" spans="2:5" ht="30" x14ac:dyDescent="0.25">
      <c r="B120" s="138">
        <v>79</v>
      </c>
      <c r="C120" s="25" t="s">
        <v>312</v>
      </c>
      <c r="D120" s="501">
        <v>0</v>
      </c>
      <c r="E120" s="9"/>
    </row>
    <row r="121" spans="2:5" x14ac:dyDescent="0.25">
      <c r="B121" s="934" t="s">
        <v>313</v>
      </c>
      <c r="C121" s="935"/>
      <c r="D121" s="935"/>
      <c r="E121" s="936"/>
    </row>
    <row r="122" spans="2:5" ht="30" x14ac:dyDescent="0.25">
      <c r="B122" s="138">
        <v>80</v>
      </c>
      <c r="C122" s="25" t="s">
        <v>314</v>
      </c>
      <c r="D122" s="480">
        <v>0</v>
      </c>
      <c r="E122" s="9"/>
    </row>
    <row r="123" spans="2:5" ht="30" x14ac:dyDescent="0.25">
      <c r="B123" s="138">
        <v>81</v>
      </c>
      <c r="C123" s="25" t="s">
        <v>315</v>
      </c>
      <c r="D123" s="480">
        <v>0</v>
      </c>
      <c r="E123" s="9"/>
    </row>
    <row r="124" spans="2:5" ht="30" x14ac:dyDescent="0.25">
      <c r="B124" s="138">
        <v>82</v>
      </c>
      <c r="C124" s="25" t="s">
        <v>316</v>
      </c>
      <c r="D124" s="480">
        <v>0</v>
      </c>
      <c r="E124" s="9"/>
    </row>
    <row r="125" spans="2:5" ht="30" x14ac:dyDescent="0.25">
      <c r="B125" s="138">
        <v>83</v>
      </c>
      <c r="C125" s="25" t="s">
        <v>317</v>
      </c>
      <c r="D125" s="480">
        <v>0</v>
      </c>
      <c r="E125" s="9"/>
    </row>
    <row r="126" spans="2:5" ht="30" x14ac:dyDescent="0.25">
      <c r="B126" s="138">
        <v>84</v>
      </c>
      <c r="C126" s="25" t="s">
        <v>318</v>
      </c>
      <c r="D126" s="480">
        <v>0</v>
      </c>
      <c r="E126" s="9"/>
    </row>
    <row r="127" spans="2:5" ht="30" x14ac:dyDescent="0.25">
      <c r="B127" s="138">
        <v>85</v>
      </c>
      <c r="C127" s="25" t="s">
        <v>319</v>
      </c>
      <c r="D127" s="480">
        <v>0</v>
      </c>
      <c r="E127" s="9"/>
    </row>
    <row r="128" spans="2:5" x14ac:dyDescent="0.25">
      <c r="B128" s="96"/>
    </row>
    <row r="129" spans="2:2" x14ac:dyDescent="0.25">
      <c r="B129" s="96"/>
    </row>
    <row r="130" spans="2:2" x14ac:dyDescent="0.25">
      <c r="B130" s="97"/>
    </row>
    <row r="131" spans="2:2" x14ac:dyDescent="0.25">
      <c r="B131" s="97"/>
    </row>
    <row r="132" spans="2:2" x14ac:dyDescent="0.25">
      <c r="B132" s="97"/>
    </row>
    <row r="133" spans="2:2" x14ac:dyDescent="0.25">
      <c r="B133" s="97"/>
    </row>
  </sheetData>
  <mergeCells count="15">
    <mergeCell ref="B116:E116"/>
    <mergeCell ref="B121:E121"/>
    <mergeCell ref="B93:E93"/>
    <mergeCell ref="B104:E104"/>
    <mergeCell ref="B108:E108"/>
    <mergeCell ref="B109:B112"/>
    <mergeCell ref="C109:C112"/>
    <mergeCell ref="D109:D112"/>
    <mergeCell ref="E109:E112"/>
    <mergeCell ref="B80:E80"/>
    <mergeCell ref="B7:E7"/>
    <mergeCell ref="B19:E19"/>
    <mergeCell ref="B50:E50"/>
    <mergeCell ref="B60:E60"/>
    <mergeCell ref="B71:E71"/>
  </mergeCells>
  <hyperlinks>
    <hyperlink ref="B2" location="Indhold!B11" display="Skema EU CC1 — Sammensætning af lovpligtigt kapitalgrundlag" xr:uid="{70C1F89A-0916-427A-A8D2-7CDA890BFD34}"/>
  </hyperlinks>
  <pageMargins left="0.23622047244094491" right="0.23622047244094491" top="0.74803149606299213" bottom="0.74803149606299213" header="0.31496062992125984" footer="0.31496062992125984"/>
  <pageSetup paperSize="9" scale="75" orientation="landscape" r:id="rId1"/>
  <headerFooter>
    <oddHeader>&amp;CDA
Bilag VII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70</vt:i4>
      </vt:variant>
      <vt:variant>
        <vt:lpstr>Navngivne områder</vt:lpstr>
      </vt:variant>
      <vt:variant>
        <vt:i4>16</vt:i4>
      </vt:variant>
    </vt:vector>
  </HeadingPairs>
  <TitlesOfParts>
    <vt:vector size="86" baseType="lpstr">
      <vt:lpstr>Indledning</vt:lpstr>
      <vt:lpstr>Erklæring</vt:lpstr>
      <vt:lpstr>Indhold</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EU INS1</vt:lpstr>
      <vt:lpstr>EU INS2</vt:lpstr>
      <vt:lpstr>Skema EU PV1</vt:lpstr>
      <vt:lpstr>EU CCyB1</vt:lpstr>
      <vt:lpstr>Skema EU CR2a</vt:lpstr>
      <vt:lpstr>Skema EU CQ2</vt:lpstr>
      <vt:lpstr>Skema EU CQ4</vt:lpstr>
      <vt:lpstr>Skema EU CQ6</vt:lpstr>
      <vt:lpstr>Skema EU CQ8</vt:lpstr>
      <vt:lpstr>EU CR6</vt:lpstr>
      <vt:lpstr>EU CR6-A</vt:lpstr>
      <vt:lpstr>EU CR7</vt:lpstr>
      <vt:lpstr>EU CR7-A</vt:lpstr>
      <vt:lpstr>EU CR8</vt:lpstr>
      <vt:lpstr>EU CR9</vt:lpstr>
      <vt:lpstr>EU CR9.1</vt:lpstr>
      <vt:lpstr>EU CR10 </vt:lpstr>
      <vt:lpstr>Skema EU CCR4</vt:lpstr>
      <vt:lpstr>Skema EU CCR7</vt:lpstr>
      <vt:lpstr>EU MR2-A</vt:lpstr>
      <vt:lpstr>EU MR2-B</vt:lpstr>
      <vt:lpstr>EU MR3</vt:lpstr>
      <vt:lpstr>EU MR4</vt:lpstr>
      <vt:lpstr>'25'!_ftn1</vt:lpstr>
      <vt:lpstr>'25'!_ftnref1</vt:lpstr>
      <vt:lpstr>'3'!_Toc483499698</vt:lpstr>
      <vt:lpstr>Indledning!Print_Area</vt:lpstr>
      <vt:lpstr>'10'!Udskriftsområde</vt:lpstr>
      <vt:lpstr>'20'!Udskriftsområde</vt:lpstr>
      <vt:lpstr>'3'!Udskriftsområde</vt:lpstr>
      <vt:lpstr>'39'!Udskriftsområde</vt:lpstr>
      <vt:lpstr>'6'!Udskriftsområde</vt:lpstr>
      <vt:lpstr>'8'!Udskriftsområde</vt:lpstr>
      <vt:lpstr>'9'!Udskriftsområde</vt:lpstr>
      <vt:lpstr>'EU CR6-A'!Udskriftsområde</vt:lpstr>
      <vt:lpstr>'EU CR7'!Udskriftsområde</vt:lpstr>
      <vt:lpstr>'EU CR9'!Udskriftsområde</vt:lpstr>
      <vt:lpstr>'EU CR9.1'!Udskriftsområde</vt:lpstr>
      <vt:lpstr>'6'!Udskriftstitler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K. Hansen</dc:creator>
  <cp:lastModifiedBy>Kenneth K. Hansen</cp:lastModifiedBy>
  <cp:lastPrinted>2022-02-09T13:51:41Z</cp:lastPrinted>
  <dcterms:created xsi:type="dcterms:W3CDTF">2022-02-09T07:27:06Z</dcterms:created>
  <dcterms:modified xsi:type="dcterms:W3CDTF">2023-02-14T14:23:51Z</dcterms:modified>
</cp:coreProperties>
</file>